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4-06\"/>
    </mc:Choice>
  </mc:AlternateContent>
  <xr:revisionPtr revIDLastSave="0" documentId="8_{C074F0B2-9DC6-419C-B5BE-DAD74113EA4F}" xr6:coauthVersionLast="47" xr6:coauthVersionMax="47" xr10:uidLastSave="{00000000-0000-0000-0000-000000000000}"/>
  <bookViews>
    <workbookView xWindow="28680" yWindow="-120" windowWidth="29040" windowHeight="15840" tabRatio="847" activeTab="1" xr2:uid="{00000000-000D-0000-FFFF-FFFF00000000}"/>
  </bookViews>
  <sheets>
    <sheet name="Index Table of Contents" sheetId="32" r:id="rId1"/>
    <sheet name="Tariff Tables" sheetId="5" r:id="rId2"/>
    <sheet name="DSIM Cycle Tables" sheetId="20" r:id="rId3"/>
    <sheet name="PPC Cycle 3" sheetId="18" r:id="rId4"/>
    <sheet name="PCR Cycle 2" sheetId="15" r:id="rId5"/>
    <sheet name="PCR Cycle 3" sheetId="22" r:id="rId6"/>
    <sheet name="PCR Cycle 4" sheetId="36" r:id="rId7"/>
    <sheet name="PTD Cycle 2" sheetId="12" r:id="rId8"/>
    <sheet name="PTD Cycle 3" sheetId="19" r:id="rId9"/>
    <sheet name="TDR Cycle 2" sheetId="16" r:id="rId10"/>
    <sheet name="TDR Cycle 3" sheetId="24" r:id="rId11"/>
    <sheet name="EO Cycle 2" sheetId="8" r:id="rId12"/>
    <sheet name="EO Cycle 3" sheetId="28" r:id="rId13"/>
    <sheet name="EOR Cycle 2" sheetId="23" r:id="rId14"/>
    <sheet name="EOR Cycle 3" sheetId="29" r:id="rId15"/>
    <sheet name="OA Cycle 2" sheetId="10" r:id="rId16"/>
    <sheet name="OA Cycle 3" sheetId="30" r:id="rId17"/>
    <sheet name="OAR Cycle 2" sheetId="13" r:id="rId18"/>
    <sheet name="OAR Cycle 3" sheetId="31"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Print_Area" localSheetId="4">'PCR Cycle 2'!$A$1:$O$67</definedName>
    <definedName name="_xlnm.Print_Area" localSheetId="5">'PCR Cycle 3'!$A$1:$O$71</definedName>
    <definedName name="_xlnm.Print_Area" localSheetId="6">'PCR Cycle 4'!$A$1:$O$71</definedName>
    <definedName name="ServClassMapping">#REF!</definedName>
    <definedName name="solver_adj" localSheetId="4" hidden="1">'PCR Cycle 2'!$F$50</definedName>
    <definedName name="solver_adj" localSheetId="5" hidden="1">'PCR Cycle 3'!$F$51</definedName>
    <definedName name="solver_adj" localSheetId="6" hidden="1">'PCR Cycle 4'!$F$51</definedName>
    <definedName name="solver_adj" localSheetId="9" hidden="1">'TDR Cycle 2'!#REF!</definedName>
    <definedName name="solver_adj" localSheetId="10" hidden="1">'TDR Cycle 3'!#REF!</definedName>
    <definedName name="solver_cvg" localSheetId="4" hidden="1">0.0001</definedName>
    <definedName name="solver_cvg" localSheetId="5" hidden="1">0.0001</definedName>
    <definedName name="solver_cvg" localSheetId="6"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6" hidden="1">1</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6"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6"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6"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6"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6"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6"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6"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6"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6"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6"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6" hidden="1">1</definedName>
    <definedName name="solver_nwt" localSheetId="9" hidden="1">1</definedName>
    <definedName name="solver_nwt" localSheetId="10" hidden="1">1</definedName>
    <definedName name="solver_opt" localSheetId="4" hidden="1">'PCR Cycle 2'!$F$55</definedName>
    <definedName name="solver_opt" localSheetId="5" hidden="1">'PCR Cycle 3'!$F$59</definedName>
    <definedName name="solver_opt" localSheetId="6" hidden="1">'PCR Cycle 4'!$F$59</definedName>
    <definedName name="solver_opt" localSheetId="9" hidden="1">'TDR Cycle 2'!#REF!</definedName>
    <definedName name="solver_opt" localSheetId="10" hidden="1">'TDR Cycle 3'!#REF!</definedName>
    <definedName name="solver_pre" localSheetId="4" hidden="1">0.000001</definedName>
    <definedName name="solver_pre" localSheetId="5" hidden="1">0.000001</definedName>
    <definedName name="solver_pre" localSheetId="6"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6" hidden="1">1</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6"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6"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6" hidden="1">1</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6"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6"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6"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6"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6"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6" hidden="1">0</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6"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3" i="5" l="1"/>
  <c r="B5" i="18"/>
  <c r="J29" i="29"/>
  <c r="I29" i="29"/>
  <c r="H29" i="29"/>
  <c r="G29" i="29"/>
  <c r="F29" i="29"/>
  <c r="E29" i="29"/>
  <c r="E25" i="24" l="1"/>
  <c r="E26" i="24"/>
  <c r="E27" i="24"/>
  <c r="E24" i="24"/>
  <c r="E23" i="24"/>
  <c r="E32" i="24"/>
  <c r="E34" i="24"/>
  <c r="E30" i="24"/>
  <c r="F27" i="24" l="1"/>
  <c r="F23" i="24"/>
  <c r="F26" i="24"/>
  <c r="F25" i="24"/>
  <c r="F24" i="24"/>
  <c r="E33" i="24"/>
  <c r="F32" i="24"/>
  <c r="F33" i="24"/>
  <c r="F34" i="24"/>
  <c r="E31" i="24"/>
  <c r="G24" i="24" l="1"/>
  <c r="G25" i="24"/>
  <c r="G27" i="24"/>
  <c r="G26" i="24"/>
  <c r="G23" i="24"/>
  <c r="G34" i="24"/>
  <c r="G30" i="24"/>
  <c r="F30" i="24"/>
  <c r="G32" i="24"/>
  <c r="G33" i="24"/>
  <c r="F31" i="24"/>
  <c r="H23" i="24" l="1"/>
  <c r="H24" i="24"/>
  <c r="H27" i="24"/>
  <c r="H25" i="24"/>
  <c r="H26" i="24"/>
  <c r="H33" i="24"/>
  <c r="G31" i="24"/>
  <c r="I25" i="24" l="1"/>
  <c r="I23" i="24"/>
  <c r="I26" i="24"/>
  <c r="I27" i="24"/>
  <c r="I24" i="24"/>
  <c r="I33" i="24"/>
  <c r="H32" i="24"/>
  <c r="H34" i="24"/>
  <c r="H30" i="24"/>
  <c r="I32" i="24"/>
  <c r="I30" i="24"/>
  <c r="I34" i="24"/>
  <c r="H31" i="24"/>
  <c r="J25" i="24" l="1"/>
  <c r="J27" i="24"/>
  <c r="J26" i="24"/>
  <c r="J23" i="24"/>
  <c r="J32" i="24"/>
  <c r="J34" i="24"/>
  <c r="J33" i="24"/>
  <c r="I31" i="24"/>
  <c r="J30" i="24"/>
  <c r="J24" i="24" l="1"/>
  <c r="J31" i="24" l="1"/>
  <c r="K23" i="24" l="1"/>
  <c r="K25" i="24"/>
  <c r="K27" i="24"/>
  <c r="K26" i="24"/>
  <c r="K24" i="24"/>
  <c r="L25" i="24" l="1"/>
  <c r="L27" i="24"/>
  <c r="L26" i="24" l="1"/>
  <c r="L23" i="24"/>
  <c r="L24" i="24"/>
  <c r="L32" i="24" l="1"/>
  <c r="K33" i="24"/>
  <c r="L34" i="24"/>
  <c r="L30" i="24"/>
  <c r="K32" i="24"/>
  <c r="K34" i="24"/>
  <c r="K30" i="24"/>
  <c r="K31" i="24"/>
  <c r="L33" i="24" l="1"/>
  <c r="L31" i="24"/>
  <c r="L19" i="22" l="1"/>
  <c r="K19" i="22"/>
  <c r="L18" i="22"/>
  <c r="K18" i="22"/>
  <c r="L17" i="22"/>
  <c r="K17" i="22"/>
  <c r="L16" i="22"/>
  <c r="K16" i="22"/>
  <c r="L15" i="22"/>
  <c r="K15" i="22"/>
  <c r="B67" i="28" l="1"/>
  <c r="E62" i="28"/>
  <c r="D62" i="28"/>
  <c r="C62" i="28"/>
  <c r="E61" i="28"/>
  <c r="D61" i="28"/>
  <c r="C61" i="28"/>
  <c r="E60" i="28"/>
  <c r="D60" i="28"/>
  <c r="C60" i="28"/>
  <c r="E59" i="28"/>
  <c r="D59" i="28"/>
  <c r="C59" i="28"/>
  <c r="E55" i="28"/>
  <c r="D55" i="28"/>
  <c r="C55" i="28"/>
  <c r="E50" i="28"/>
  <c r="D50" i="28"/>
  <c r="C50" i="28"/>
  <c r="E49" i="28"/>
  <c r="D49" i="28"/>
  <c r="C49" i="28"/>
  <c r="E48" i="28"/>
  <c r="D48" i="28"/>
  <c r="C48" i="28"/>
  <c r="E47" i="28"/>
  <c r="D47" i="28"/>
  <c r="C47" i="28"/>
  <c r="E43" i="28"/>
  <c r="D43" i="28"/>
  <c r="C43" i="28"/>
  <c r="E38" i="28"/>
  <c r="D38" i="28"/>
  <c r="C38" i="28"/>
  <c r="E37" i="28"/>
  <c r="D37" i="28"/>
  <c r="C37" i="28"/>
  <c r="E36" i="28"/>
  <c r="D36" i="28"/>
  <c r="C36" i="28"/>
  <c r="E35" i="28"/>
  <c r="D35" i="28"/>
  <c r="C35" i="28"/>
  <c r="E31" i="28"/>
  <c r="D31" i="28"/>
  <c r="C31" i="28"/>
  <c r="E26" i="28"/>
  <c r="D26" i="28"/>
  <c r="C26" i="28"/>
  <c r="B26" i="28"/>
  <c r="E25" i="28"/>
  <c r="D25" i="28"/>
  <c r="C25" i="28"/>
  <c r="B25" i="28"/>
  <c r="E24" i="28"/>
  <c r="D24" i="28"/>
  <c r="C24" i="28"/>
  <c r="B24" i="28"/>
  <c r="E23" i="28"/>
  <c r="D23" i="28"/>
  <c r="C23" i="28"/>
  <c r="B23" i="28"/>
  <c r="E19" i="28"/>
  <c r="D19" i="28"/>
  <c r="C19" i="28"/>
  <c r="B19" i="28"/>
  <c r="J20" i="24"/>
  <c r="I20" i="24"/>
  <c r="H20" i="24"/>
  <c r="G20" i="24"/>
  <c r="F20" i="24"/>
  <c r="E20" i="24"/>
  <c r="J19" i="24"/>
  <c r="I19" i="24"/>
  <c r="H19" i="24"/>
  <c r="G19" i="24"/>
  <c r="F19" i="24"/>
  <c r="E19" i="24"/>
  <c r="J18" i="24"/>
  <c r="I18" i="24"/>
  <c r="H18" i="24"/>
  <c r="G18" i="24"/>
  <c r="F18" i="24"/>
  <c r="E18" i="24"/>
  <c r="J17" i="24"/>
  <c r="I17" i="24"/>
  <c r="H17" i="24"/>
  <c r="G17" i="24"/>
  <c r="F17" i="24"/>
  <c r="E17" i="24"/>
  <c r="J16" i="24"/>
  <c r="I16" i="24"/>
  <c r="H16" i="24"/>
  <c r="G16" i="24"/>
  <c r="F16" i="24"/>
  <c r="E16" i="24"/>
  <c r="J23" i="16"/>
  <c r="I23" i="16"/>
  <c r="H23" i="16"/>
  <c r="G23" i="16"/>
  <c r="F23" i="16"/>
  <c r="E23" i="16"/>
  <c r="J22" i="16"/>
  <c r="I22" i="16"/>
  <c r="H22" i="16"/>
  <c r="G22" i="16"/>
  <c r="F22" i="16"/>
  <c r="E22" i="16"/>
  <c r="J21" i="16"/>
  <c r="I21" i="16"/>
  <c r="H21" i="16"/>
  <c r="G21" i="16"/>
  <c r="F21" i="16"/>
  <c r="E21" i="16"/>
  <c r="J20" i="16"/>
  <c r="I20" i="16"/>
  <c r="H20" i="16"/>
  <c r="G20" i="16"/>
  <c r="F20" i="16"/>
  <c r="E20" i="16"/>
  <c r="J19" i="16"/>
  <c r="I19" i="16"/>
  <c r="H19" i="16"/>
  <c r="G19" i="16"/>
  <c r="F19" i="16"/>
  <c r="E19" i="16"/>
  <c r="D8" i="19"/>
  <c r="B8" i="19"/>
  <c r="F7" i="19"/>
  <c r="E7" i="19"/>
  <c r="D7" i="19"/>
  <c r="B7" i="19"/>
  <c r="F6" i="19"/>
  <c r="E6" i="19"/>
  <c r="D6" i="19"/>
  <c r="B6" i="19"/>
  <c r="J33" i="22"/>
  <c r="I33" i="22"/>
  <c r="H33" i="22"/>
  <c r="G33" i="22"/>
  <c r="F33" i="22"/>
  <c r="E33" i="22"/>
  <c r="J32" i="22"/>
  <c r="I32" i="22"/>
  <c r="H32" i="22"/>
  <c r="G32" i="22"/>
  <c r="F32" i="22"/>
  <c r="E32" i="22"/>
  <c r="J31" i="22"/>
  <c r="I31" i="22"/>
  <c r="H31" i="22"/>
  <c r="G31" i="22"/>
  <c r="F31" i="22"/>
  <c r="E31" i="22"/>
  <c r="J30" i="22"/>
  <c r="I30" i="22"/>
  <c r="H30" i="22"/>
  <c r="G30" i="22"/>
  <c r="F30" i="22"/>
  <c r="E30" i="22"/>
  <c r="J29" i="22"/>
  <c r="I29" i="22"/>
  <c r="H29" i="22"/>
  <c r="G29" i="22"/>
  <c r="F29" i="22"/>
  <c r="E29" i="22"/>
  <c r="J19" i="22"/>
  <c r="I19" i="22"/>
  <c r="H19" i="22"/>
  <c r="G19" i="22"/>
  <c r="F19" i="22"/>
  <c r="E19" i="22"/>
  <c r="J18" i="22"/>
  <c r="I18" i="22"/>
  <c r="H18" i="22"/>
  <c r="G18" i="22"/>
  <c r="F18" i="22"/>
  <c r="E18" i="22"/>
  <c r="J17" i="22"/>
  <c r="I17" i="22"/>
  <c r="H17" i="22"/>
  <c r="G17" i="22"/>
  <c r="F17" i="22"/>
  <c r="E17" i="22"/>
  <c r="J16" i="22"/>
  <c r="I16" i="22"/>
  <c r="H16" i="22"/>
  <c r="G16" i="22"/>
  <c r="F16" i="22"/>
  <c r="E16" i="22"/>
  <c r="J15" i="22"/>
  <c r="I15" i="22"/>
  <c r="H15" i="22"/>
  <c r="G15" i="22"/>
  <c r="F15" i="22"/>
  <c r="E15" i="22"/>
  <c r="E50" i="15"/>
  <c r="J38" i="15"/>
  <c r="I38" i="15"/>
  <c r="H38" i="15"/>
  <c r="G38" i="15"/>
  <c r="F38" i="15"/>
  <c r="E38" i="15"/>
  <c r="J37" i="15"/>
  <c r="I37" i="15"/>
  <c r="H37" i="15"/>
  <c r="G37" i="15"/>
  <c r="F37" i="15"/>
  <c r="E37" i="15"/>
  <c r="J36" i="15"/>
  <c r="I36" i="15"/>
  <c r="H36" i="15"/>
  <c r="G36" i="15"/>
  <c r="F36" i="15"/>
  <c r="E36" i="15"/>
  <c r="J35" i="15"/>
  <c r="I35" i="15"/>
  <c r="H35" i="15"/>
  <c r="G35" i="15"/>
  <c r="F35" i="15"/>
  <c r="E35" i="15"/>
  <c r="J34" i="15"/>
  <c r="I34" i="15"/>
  <c r="H34" i="15"/>
  <c r="G34" i="15"/>
  <c r="F34" i="15"/>
  <c r="E34" i="15"/>
  <c r="J31" i="15"/>
  <c r="I31" i="15"/>
  <c r="H31" i="15"/>
  <c r="G31" i="15"/>
  <c r="F31" i="15"/>
  <c r="E31" i="15"/>
  <c r="J30" i="15"/>
  <c r="I30" i="15"/>
  <c r="H30" i="15"/>
  <c r="G30" i="15"/>
  <c r="F30" i="15"/>
  <c r="E30" i="15"/>
  <c r="J29" i="15"/>
  <c r="I29" i="15"/>
  <c r="H29" i="15"/>
  <c r="G29" i="15"/>
  <c r="F29" i="15"/>
  <c r="E29" i="15"/>
  <c r="J28" i="15"/>
  <c r="I28" i="15"/>
  <c r="H28" i="15"/>
  <c r="G28" i="15"/>
  <c r="F28" i="15"/>
  <c r="E28" i="15"/>
  <c r="J27" i="15"/>
  <c r="I27" i="15"/>
  <c r="H27" i="15"/>
  <c r="G27" i="15"/>
  <c r="F27" i="15"/>
  <c r="E27" i="15"/>
  <c r="L11" i="15"/>
  <c r="L10" i="15"/>
  <c r="L9" i="15"/>
  <c r="L8" i="15"/>
  <c r="D9" i="18"/>
  <c r="D8" i="18"/>
  <c r="D7" i="18"/>
  <c r="D6" i="18"/>
  <c r="D5" i="18"/>
  <c r="J50" i="15"/>
  <c r="I50" i="15"/>
  <c r="H50" i="15"/>
  <c r="G50" i="15"/>
  <c r="F50" i="15"/>
  <c r="F19" i="36"/>
  <c r="F18" i="36"/>
  <c r="F17" i="36"/>
  <c r="F16" i="36"/>
  <c r="F15" i="36"/>
  <c r="F10" i="19"/>
  <c r="E10" i="19"/>
  <c r="D10" i="19"/>
  <c r="B10" i="19"/>
  <c r="F9" i="19"/>
  <c r="E9" i="19"/>
  <c r="D9" i="19"/>
  <c r="B9" i="19"/>
  <c r="F8" i="19"/>
  <c r="E8" i="19"/>
  <c r="E86" i="28" l="1"/>
  <c r="D86" i="28"/>
  <c r="C86" i="28"/>
  <c r="E85" i="28"/>
  <c r="D85" i="28"/>
  <c r="C85" i="28"/>
  <c r="E84" i="28"/>
  <c r="D84" i="28"/>
  <c r="C84" i="28"/>
  <c r="E83" i="28"/>
  <c r="D83" i="28"/>
  <c r="C83" i="28"/>
  <c r="E79" i="28"/>
  <c r="D79" i="28"/>
  <c r="C79" i="28"/>
  <c r="B79" i="28"/>
  <c r="B110" i="28"/>
  <c r="B109" i="28"/>
  <c r="B108" i="28"/>
  <c r="B107" i="28"/>
  <c r="B103" i="28"/>
  <c r="C91" i="28" l="1"/>
  <c r="D97" i="28" l="1"/>
  <c r="C97" i="28"/>
  <c r="C96" i="28" l="1"/>
  <c r="D96" i="28"/>
  <c r="D91" i="28"/>
  <c r="D98" i="28" l="1"/>
  <c r="C98" i="28"/>
  <c r="D95" i="28" l="1"/>
  <c r="C95" i="28"/>
  <c r="E91" i="28" l="1"/>
  <c r="E98" i="28" l="1"/>
  <c r="E96" i="28" l="1"/>
  <c r="E97" i="28" l="1"/>
  <c r="E95" i="28" l="1"/>
  <c r="F110" i="28" l="1"/>
  <c r="G110" i="28" s="1"/>
  <c r="F109" i="28"/>
  <c r="G109" i="28" s="1"/>
  <c r="E111" i="28"/>
  <c r="E104" i="28" s="1"/>
  <c r="D111" i="28"/>
  <c r="D104" i="28" s="1"/>
  <c r="C111" i="28"/>
  <c r="C104" i="28" s="1"/>
  <c r="C105" i="28" s="1"/>
  <c r="B111" i="28"/>
  <c r="B104" i="28" s="1"/>
  <c r="F103" i="28"/>
  <c r="G103" i="28" s="1"/>
  <c r="F98" i="28"/>
  <c r="G98" i="28" s="1"/>
  <c r="F96" i="28"/>
  <c r="G96" i="28" s="1"/>
  <c r="C99" i="28"/>
  <c r="C92" i="28" s="1"/>
  <c r="F95" i="28"/>
  <c r="G95" i="28" s="1"/>
  <c r="D105" i="28" l="1"/>
  <c r="B105" i="28"/>
  <c r="F97" i="28"/>
  <c r="G97" i="28" s="1"/>
  <c r="C93" i="28"/>
  <c r="F91" i="28"/>
  <c r="G91" i="28" s="1"/>
  <c r="F108" i="28"/>
  <c r="G108" i="28" s="1"/>
  <c r="D99" i="28"/>
  <c r="D92" i="28" s="1"/>
  <c r="D93" i="28" s="1"/>
  <c r="F104" i="28"/>
  <c r="G104" i="28" s="1"/>
  <c r="F107" i="28"/>
  <c r="G107" i="28" s="1"/>
  <c r="E99" i="28"/>
  <c r="E92" i="28" s="1"/>
  <c r="E93" i="28" s="1"/>
  <c r="B99" i="28"/>
  <c r="B92" i="28" s="1"/>
  <c r="B93" i="28" s="1"/>
  <c r="F92" i="28" l="1"/>
  <c r="F105" i="28"/>
  <c r="E105" i="28"/>
  <c r="G99" i="28"/>
  <c r="F99" i="28"/>
  <c r="F111" i="28"/>
  <c r="G105" i="28"/>
  <c r="G92" i="28" l="1"/>
  <c r="G93" i="28" s="1"/>
  <c r="G111" i="28"/>
  <c r="F93" i="28"/>
  <c r="F11" i="19" l="1"/>
  <c r="B61" i="36" l="1"/>
  <c r="C61" i="36" s="1"/>
  <c r="M59" i="36"/>
  <c r="C47" i="36"/>
  <c r="C46" i="36"/>
  <c r="D46" i="36" s="1"/>
  <c r="C45" i="36"/>
  <c r="D45" i="36" s="1"/>
  <c r="D42" i="36"/>
  <c r="C42" i="36"/>
  <c r="C49" i="36" s="1"/>
  <c r="D41" i="36"/>
  <c r="C41" i="36"/>
  <c r="C48" i="36" s="1"/>
  <c r="J40" i="36"/>
  <c r="D40" i="36"/>
  <c r="C40" i="36"/>
  <c r="I39" i="36"/>
  <c r="D39" i="36"/>
  <c r="C39" i="36"/>
  <c r="J38" i="36"/>
  <c r="I38" i="36"/>
  <c r="H38" i="36"/>
  <c r="D38" i="36"/>
  <c r="C38" i="36"/>
  <c r="J42" i="36"/>
  <c r="I42" i="36"/>
  <c r="H42" i="36"/>
  <c r="G42" i="36"/>
  <c r="P18" i="36"/>
  <c r="J41" i="36"/>
  <c r="I41" i="36"/>
  <c r="H41" i="36"/>
  <c r="G41" i="36"/>
  <c r="E41" i="36"/>
  <c r="I40" i="36"/>
  <c r="H40" i="36"/>
  <c r="E40" i="36"/>
  <c r="J39" i="36"/>
  <c r="H39" i="36"/>
  <c r="G39" i="36"/>
  <c r="P15" i="36"/>
  <c r="G38" i="36"/>
  <c r="E38" i="36"/>
  <c r="M12" i="36"/>
  <c r="L12" i="36"/>
  <c r="K12" i="36"/>
  <c r="J12" i="36"/>
  <c r="I12" i="36"/>
  <c r="H12" i="36"/>
  <c r="G12" i="36"/>
  <c r="F12" i="36"/>
  <c r="E12" i="36"/>
  <c r="C11" i="36"/>
  <c r="B11" i="36"/>
  <c r="I8" i="36"/>
  <c r="I7" i="36"/>
  <c r="I6" i="36"/>
  <c r="I5" i="36"/>
  <c r="I4" i="36"/>
  <c r="A1" i="36"/>
  <c r="E45" i="36" l="1"/>
  <c r="D48" i="36"/>
  <c r="E48" i="36" s="1"/>
  <c r="I9" i="36"/>
  <c r="D47" i="36"/>
  <c r="E47" i="36" s="1"/>
  <c r="P17" i="36"/>
  <c r="G40" i="36"/>
  <c r="D49" i="36"/>
  <c r="D61" i="36"/>
  <c r="P16" i="36"/>
  <c r="E39" i="36"/>
  <c r="E42" i="36"/>
  <c r="P19" i="36"/>
  <c r="E49" i="36" l="1"/>
  <c r="E46" i="36"/>
  <c r="G94" i="8" l="1"/>
  <c r="G93" i="8"/>
  <c r="G92" i="8"/>
  <c r="G91" i="8"/>
  <c r="G87" i="8"/>
  <c r="I20" i="31" l="1"/>
  <c r="I19" i="31"/>
  <c r="I18" i="31"/>
  <c r="I17" i="31"/>
  <c r="I16" i="31"/>
  <c r="H20" i="31"/>
  <c r="H19" i="31"/>
  <c r="H18" i="31"/>
  <c r="H17" i="31"/>
  <c r="H16" i="31"/>
  <c r="G20" i="31"/>
  <c r="G19" i="31"/>
  <c r="G18" i="31"/>
  <c r="G17" i="31"/>
  <c r="G16" i="31"/>
  <c r="F20" i="31"/>
  <c r="F19" i="31"/>
  <c r="F18" i="31"/>
  <c r="F17" i="31"/>
  <c r="F16" i="31"/>
  <c r="E20" i="31"/>
  <c r="E19" i="31"/>
  <c r="E18" i="31"/>
  <c r="E17" i="31"/>
  <c r="E16" i="31"/>
  <c r="D17" i="31"/>
  <c r="D18" i="31"/>
  <c r="D19" i="31"/>
  <c r="D20" i="31"/>
  <c r="D16" i="31"/>
  <c r="L30" i="23" l="1"/>
  <c r="K30" i="23"/>
  <c r="L29" i="23"/>
  <c r="K29" i="23"/>
  <c r="L28" i="23"/>
  <c r="K28" i="23"/>
  <c r="L27" i="23"/>
  <c r="K27" i="23"/>
  <c r="L26" i="23"/>
  <c r="K26" i="23"/>
  <c r="J20" i="29"/>
  <c r="J19" i="29"/>
  <c r="J18" i="29"/>
  <c r="J17" i="29"/>
  <c r="J16" i="29"/>
  <c r="I20" i="29"/>
  <c r="I19" i="29"/>
  <c r="I18" i="29"/>
  <c r="I17" i="29"/>
  <c r="I16" i="29"/>
  <c r="H20" i="29"/>
  <c r="H19" i="29"/>
  <c r="H18" i="29"/>
  <c r="H17" i="29"/>
  <c r="H16" i="29"/>
  <c r="G20" i="29"/>
  <c r="G19" i="29"/>
  <c r="G18" i="29"/>
  <c r="G17" i="29"/>
  <c r="G16" i="29"/>
  <c r="F20" i="29"/>
  <c r="F19" i="29"/>
  <c r="F18" i="29"/>
  <c r="F17" i="29"/>
  <c r="F16" i="29"/>
  <c r="E17" i="29"/>
  <c r="E18" i="29"/>
  <c r="E19" i="29"/>
  <c r="E20" i="29"/>
  <c r="E16" i="29"/>
  <c r="I20" i="13" l="1"/>
  <c r="I19" i="13"/>
  <c r="H20" i="13"/>
  <c r="H19" i="13"/>
  <c r="G20" i="13"/>
  <c r="G19" i="13"/>
  <c r="F20" i="13"/>
  <c r="F19" i="13"/>
  <c r="E20" i="13"/>
  <c r="E19" i="13"/>
  <c r="D20" i="13"/>
  <c r="D19" i="13"/>
  <c r="J30" i="23"/>
  <c r="I30" i="23"/>
  <c r="J29" i="23"/>
  <c r="I29" i="23"/>
  <c r="J28" i="23"/>
  <c r="I28" i="23"/>
  <c r="J27" i="23"/>
  <c r="I27" i="23"/>
  <c r="J26" i="23"/>
  <c r="I26" i="23"/>
  <c r="H30" i="23"/>
  <c r="H29" i="23"/>
  <c r="H28" i="23"/>
  <c r="H27" i="23"/>
  <c r="H26" i="23"/>
  <c r="G30" i="23"/>
  <c r="F30" i="23"/>
  <c r="E30" i="23"/>
  <c r="G29" i="23"/>
  <c r="F29" i="23"/>
  <c r="E29" i="23"/>
  <c r="G28" i="23"/>
  <c r="F28" i="23"/>
  <c r="E28" i="23"/>
  <c r="G27" i="23"/>
  <c r="F27" i="23"/>
  <c r="E27" i="23"/>
  <c r="G26" i="23"/>
  <c r="F26" i="23"/>
  <c r="E26" i="23"/>
  <c r="F23" i="23" l="1"/>
  <c r="F22" i="23"/>
  <c r="F21" i="23"/>
  <c r="F20" i="23"/>
  <c r="F19" i="23"/>
  <c r="G23" i="23"/>
  <c r="G22" i="23"/>
  <c r="G21" i="23"/>
  <c r="G20" i="23"/>
  <c r="G19" i="23"/>
  <c r="H23" i="23"/>
  <c r="H22" i="23"/>
  <c r="H21" i="23"/>
  <c r="H20" i="23"/>
  <c r="H19" i="23"/>
  <c r="I23" i="23"/>
  <c r="I22" i="23"/>
  <c r="I21" i="23"/>
  <c r="I20" i="23"/>
  <c r="I19" i="23"/>
  <c r="J23" i="23"/>
  <c r="J22" i="23"/>
  <c r="J21" i="23"/>
  <c r="J20" i="23"/>
  <c r="J19" i="23"/>
  <c r="E23" i="23"/>
  <c r="E22" i="23"/>
  <c r="E21" i="23"/>
  <c r="E20" i="23"/>
  <c r="E19" i="23"/>
  <c r="G83" i="8"/>
  <c r="G82" i="8"/>
  <c r="G81" i="8"/>
  <c r="G80" i="8"/>
  <c r="G76" i="8"/>
  <c r="G72" i="8" l="1"/>
  <c r="G71" i="8"/>
  <c r="G70" i="8"/>
  <c r="G69" i="8"/>
  <c r="G65" i="8"/>
  <c r="G61" i="8"/>
  <c r="G60" i="8"/>
  <c r="G59" i="8"/>
  <c r="G58" i="8"/>
  <c r="G54" i="8"/>
  <c r="E56" i="36" l="1"/>
  <c r="E55" i="36"/>
  <c r="E53" i="36"/>
  <c r="E57" i="36"/>
  <c r="E54" i="36"/>
  <c r="K50" i="15"/>
  <c r="L50" i="15" l="1"/>
  <c r="E59" i="36"/>
  <c r="E61" i="36"/>
  <c r="E58" i="36" s="1"/>
  <c r="P19" i="22" l="1"/>
  <c r="O27" i="31" l="1"/>
  <c r="O26" i="31"/>
  <c r="O25" i="31"/>
  <c r="O24" i="31"/>
  <c r="O23" i="31"/>
  <c r="O13" i="31"/>
  <c r="O24" i="13"/>
  <c r="O23" i="13"/>
  <c r="O16" i="13"/>
  <c r="P30" i="23"/>
  <c r="P29" i="23"/>
  <c r="P28" i="23"/>
  <c r="P27" i="23"/>
  <c r="P26" i="23"/>
  <c r="P40" i="15"/>
  <c r="P16" i="16"/>
  <c r="P19" i="15"/>
  <c r="P18" i="15"/>
  <c r="P17" i="15"/>
  <c r="P16" i="15"/>
  <c r="G14" i="8" l="1"/>
  <c r="G13" i="8"/>
  <c r="G12" i="8"/>
  <c r="G11" i="8"/>
  <c r="G7" i="8"/>
  <c r="E14" i="8"/>
  <c r="D14" i="8"/>
  <c r="C14" i="8"/>
  <c r="E13" i="8"/>
  <c r="D13" i="8"/>
  <c r="C13" i="8"/>
  <c r="E12" i="8"/>
  <c r="D12" i="8"/>
  <c r="C12" i="8"/>
  <c r="E11" i="8"/>
  <c r="E15" i="8" s="1"/>
  <c r="D11" i="8"/>
  <c r="D15" i="8" s="1"/>
  <c r="C11" i="8"/>
  <c r="C15" i="8" s="1"/>
  <c r="D9" i="8"/>
  <c r="E8" i="8"/>
  <c r="D8" i="8"/>
  <c r="C8" i="8"/>
  <c r="E7" i="8"/>
  <c r="E9" i="8" s="1"/>
  <c r="D7" i="8"/>
  <c r="C7" i="8"/>
  <c r="C9" i="8" s="1"/>
  <c r="B14" i="8"/>
  <c r="B13" i="8"/>
  <c r="B12" i="8"/>
  <c r="B11" i="8"/>
  <c r="B8" i="8"/>
  <c r="B7" i="8"/>
  <c r="G15" i="8" l="1"/>
  <c r="B86" i="28" l="1"/>
  <c r="B85" i="28"/>
  <c r="B84" i="28"/>
  <c r="B83" i="28"/>
  <c r="E74" i="28" l="1"/>
  <c r="D74" i="28"/>
  <c r="C74" i="28"/>
  <c r="B74" i="28"/>
  <c r="E73" i="28"/>
  <c r="D73" i="28"/>
  <c r="C73" i="28"/>
  <c r="B73" i="28"/>
  <c r="E72" i="28"/>
  <c r="D72" i="28"/>
  <c r="C72" i="28"/>
  <c r="B72" i="28"/>
  <c r="E71" i="28"/>
  <c r="D71" i="28"/>
  <c r="C71" i="28"/>
  <c r="B71" i="28"/>
  <c r="E67" i="28"/>
  <c r="D67" i="28"/>
  <c r="C67" i="28"/>
  <c r="B14" i="28"/>
  <c r="B13" i="28"/>
  <c r="B12" i="28"/>
  <c r="B11" i="28"/>
  <c r="B7" i="28"/>
  <c r="E56" i="28" l="1"/>
  <c r="B62" i="28"/>
  <c r="F62" i="28" s="1"/>
  <c r="B61" i="28"/>
  <c r="F61" i="28" s="1"/>
  <c r="D56" i="28"/>
  <c r="B60" i="28"/>
  <c r="F60" i="28" s="1"/>
  <c r="E63" i="28"/>
  <c r="D63" i="28"/>
  <c r="C63" i="28"/>
  <c r="B59" i="28"/>
  <c r="B63" i="28" s="1"/>
  <c r="C56" i="28"/>
  <c r="C57" i="28" s="1"/>
  <c r="B56" i="28"/>
  <c r="B55" i="28"/>
  <c r="C13" i="28" l="1"/>
  <c r="C12" i="28"/>
  <c r="C7" i="28"/>
  <c r="C14" i="28"/>
  <c r="C11" i="28"/>
  <c r="D12" i="28"/>
  <c r="D7" i="28"/>
  <c r="D11" i="28"/>
  <c r="D13" i="28"/>
  <c r="D14" i="28"/>
  <c r="E7" i="28"/>
  <c r="E14" i="28"/>
  <c r="E12" i="28"/>
  <c r="E13" i="28"/>
  <c r="E11" i="28"/>
  <c r="F59" i="28"/>
  <c r="F63" i="28" s="1"/>
  <c r="B57" i="28"/>
  <c r="G60" i="28"/>
  <c r="G61" i="28"/>
  <c r="G62" i="28"/>
  <c r="D57" i="28"/>
  <c r="E57" i="28"/>
  <c r="F56" i="28"/>
  <c r="G56" i="28" s="1"/>
  <c r="F55" i="28"/>
  <c r="G59" i="28" l="1"/>
  <c r="G63" i="28" s="1"/>
  <c r="F11" i="28"/>
  <c r="F14" i="28"/>
  <c r="F12" i="28"/>
  <c r="F13" i="28"/>
  <c r="G55" i="28"/>
  <c r="G57" i="28" s="1"/>
  <c r="F57" i="28"/>
  <c r="G50" i="8" l="1"/>
  <c r="G49" i="8"/>
  <c r="G48" i="8"/>
  <c r="G47" i="8"/>
  <c r="G44" i="8"/>
  <c r="G43" i="8"/>
  <c r="P15" i="22" l="1"/>
  <c r="P17" i="22"/>
  <c r="P16" i="22"/>
  <c r="P18" i="22"/>
  <c r="A1" i="32" l="1"/>
  <c r="F17" i="5" l="1"/>
  <c r="F16" i="5"/>
  <c r="F15" i="5"/>
  <c r="F14" i="5"/>
  <c r="F13" i="5"/>
  <c r="F94" i="8" l="1"/>
  <c r="F93" i="8"/>
  <c r="F92" i="8"/>
  <c r="F91" i="8" l="1"/>
  <c r="F88" i="8"/>
  <c r="F95" i="8" l="1"/>
  <c r="G88" i="8" l="1"/>
  <c r="G95" i="8"/>
  <c r="F87" i="8" l="1"/>
  <c r="G89" i="8" l="1"/>
  <c r="F89" i="8"/>
  <c r="B50" i="28" l="1"/>
  <c r="B49" i="28"/>
  <c r="B48" i="28"/>
  <c r="B47" i="28"/>
  <c r="B43" i="28"/>
  <c r="B51" i="28" l="1"/>
  <c r="B44" i="28"/>
  <c r="B45" i="28" l="1"/>
  <c r="D51" i="28" l="1"/>
  <c r="D44" i="28"/>
  <c r="D45" i="28" l="1"/>
  <c r="F49" i="28" l="1"/>
  <c r="F48" i="28"/>
  <c r="F50" i="28"/>
  <c r="C44" i="28"/>
  <c r="C51" i="28"/>
  <c r="G48" i="28" l="1"/>
  <c r="G50" i="28"/>
  <c r="G49" i="28"/>
  <c r="F43" i="28"/>
  <c r="C45" i="28"/>
  <c r="G43" i="28" l="1"/>
  <c r="E51" i="28"/>
  <c r="E44" i="28"/>
  <c r="F47" i="28"/>
  <c r="G47" i="28" l="1"/>
  <c r="G51" i="28" s="1"/>
  <c r="F51" i="28"/>
  <c r="E45" i="28"/>
  <c r="F44" i="28"/>
  <c r="G44" i="28" s="1"/>
  <c r="G45" i="28" l="1"/>
  <c r="F45" i="28"/>
  <c r="B87" i="28" l="1"/>
  <c r="F86" i="28"/>
  <c r="G86" i="28" s="1"/>
  <c r="F85" i="28"/>
  <c r="G85" i="28" s="1"/>
  <c r="E80" i="28"/>
  <c r="B80" i="28"/>
  <c r="B81" i="28" s="1"/>
  <c r="B75" i="28"/>
  <c r="F74" i="28"/>
  <c r="F73" i="28"/>
  <c r="F72" i="28"/>
  <c r="D68" i="28"/>
  <c r="B68" i="28"/>
  <c r="F67" i="28"/>
  <c r="G67" i="28" l="1"/>
  <c r="G72" i="28"/>
  <c r="G73" i="28"/>
  <c r="I26" i="29"/>
  <c r="H26" i="29"/>
  <c r="K26" i="29"/>
  <c r="J26" i="29"/>
  <c r="L26" i="29"/>
  <c r="G26" i="29"/>
  <c r="F26" i="29"/>
  <c r="E26" i="29"/>
  <c r="G74" i="28"/>
  <c r="H27" i="29"/>
  <c r="L27" i="29"/>
  <c r="K27" i="29"/>
  <c r="J27" i="29"/>
  <c r="I27" i="29"/>
  <c r="G27" i="29"/>
  <c r="F27" i="29"/>
  <c r="E27" i="29"/>
  <c r="B69" i="28"/>
  <c r="F79" i="28"/>
  <c r="G79" i="28" s="1"/>
  <c r="C87" i="28"/>
  <c r="D87" i="28"/>
  <c r="F84" i="28"/>
  <c r="G84" i="28" s="1"/>
  <c r="E81" i="28"/>
  <c r="C75" i="28"/>
  <c r="E75" i="28"/>
  <c r="F83" i="28"/>
  <c r="G83" i="28" s="1"/>
  <c r="E87" i="28"/>
  <c r="D69" i="28"/>
  <c r="C80" i="28"/>
  <c r="D80" i="28"/>
  <c r="D81" i="28" s="1"/>
  <c r="F71" i="28"/>
  <c r="C68" i="28"/>
  <c r="D75" i="28"/>
  <c r="E68" i="28"/>
  <c r="G23" i="29" l="1"/>
  <c r="F23" i="29"/>
  <c r="E23" i="29"/>
  <c r="J25" i="29"/>
  <c r="H25" i="29"/>
  <c r="I23" i="29"/>
  <c r="J23" i="29"/>
  <c r="P26" i="29"/>
  <c r="G71" i="28"/>
  <c r="G75" i="28" s="1"/>
  <c r="H24" i="29"/>
  <c r="I24" i="29"/>
  <c r="K24" i="29"/>
  <c r="L24" i="29"/>
  <c r="J24" i="29"/>
  <c r="E24" i="29"/>
  <c r="F24" i="29"/>
  <c r="G24" i="29"/>
  <c r="E25" i="29"/>
  <c r="L23" i="29"/>
  <c r="G25" i="29"/>
  <c r="H23" i="29"/>
  <c r="F25" i="29"/>
  <c r="K23" i="29"/>
  <c r="L25" i="29"/>
  <c r="K25" i="29"/>
  <c r="I25" i="29"/>
  <c r="P27" i="29"/>
  <c r="C69" i="28"/>
  <c r="E69" i="28"/>
  <c r="F80" i="28"/>
  <c r="G80" i="28" s="1"/>
  <c r="C81" i="28"/>
  <c r="G87" i="28"/>
  <c r="F87" i="28"/>
  <c r="F68" i="28"/>
  <c r="G68" i="28" s="1"/>
  <c r="F75" i="28"/>
  <c r="P23" i="29" l="1"/>
  <c r="D8" i="28"/>
  <c r="P25" i="29"/>
  <c r="E8" i="28"/>
  <c r="C8" i="28"/>
  <c r="P24" i="29"/>
  <c r="G69" i="28"/>
  <c r="G81" i="28"/>
  <c r="F81" i="28"/>
  <c r="F69" i="28"/>
  <c r="D44" i="15" l="1"/>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F82" i="8"/>
  <c r="F81" i="8"/>
  <c r="C78" i="8"/>
  <c r="B78" i="8"/>
  <c r="D77" i="8"/>
  <c r="D78" i="8" s="1"/>
  <c r="C77" i="8"/>
  <c r="F76" i="8"/>
  <c r="E84" i="8" l="1"/>
  <c r="F80" i="8"/>
  <c r="F77" i="8"/>
  <c r="F78" i="8" s="1"/>
  <c r="E78" i="8" l="1"/>
  <c r="F84" i="8"/>
  <c r="G84" i="8" l="1"/>
  <c r="G77" i="8"/>
  <c r="G78" i="8" s="1"/>
  <c r="C11" i="12" l="1"/>
  <c r="C12" i="12"/>
  <c r="C13" i="12"/>
  <c r="C10" i="12"/>
  <c r="C6" i="12"/>
  <c r="B11" i="12"/>
  <c r="B12" i="12"/>
  <c r="B13" i="12"/>
  <c r="B10" i="12"/>
  <c r="B6" i="12"/>
  <c r="C36" i="31" l="1"/>
  <c r="C32" i="31"/>
  <c r="I36" i="31"/>
  <c r="H36" i="31"/>
  <c r="G36" i="31"/>
  <c r="F36" i="31"/>
  <c r="E36" i="31"/>
  <c r="I32" i="31"/>
  <c r="H32" i="31"/>
  <c r="G32" i="31"/>
  <c r="F32" i="31"/>
  <c r="E32" i="31"/>
  <c r="K13" i="31"/>
  <c r="J13" i="31"/>
  <c r="I13" i="31"/>
  <c r="H13" i="31"/>
  <c r="G13" i="31"/>
  <c r="F13" i="31"/>
  <c r="E13" i="31"/>
  <c r="D13" i="31"/>
  <c r="E12" i="31"/>
  <c r="F12" i="31" s="1"/>
  <c r="G12" i="31" s="1"/>
  <c r="H12" i="31" s="1"/>
  <c r="I12" i="31" s="1"/>
  <c r="J12" i="31" s="1"/>
  <c r="K12" i="31" s="1"/>
  <c r="L12" i="31" s="1"/>
  <c r="D12" i="31"/>
  <c r="C11" i="31"/>
  <c r="B11" i="31"/>
  <c r="E8" i="31"/>
  <c r="E4" i="31"/>
  <c r="A1" i="31"/>
  <c r="E10" i="30"/>
  <c r="D11" i="30"/>
  <c r="B7" i="30" s="1"/>
  <c r="B11" i="30"/>
  <c r="B5" i="30" s="1"/>
  <c r="A2" i="30"/>
  <c r="A1" i="30"/>
  <c r="E5" i="19"/>
  <c r="E9" i="31" l="1"/>
  <c r="B12" i="30"/>
  <c r="D12" i="30"/>
  <c r="E9" i="30"/>
  <c r="D32" i="31"/>
  <c r="D36" i="31"/>
  <c r="B6" i="10"/>
  <c r="B5" i="10"/>
  <c r="E11" i="30" l="1"/>
  <c r="E12" i="30" s="1"/>
  <c r="G4" i="31" l="1"/>
  <c r="C39" i="31"/>
  <c r="D39" i="31" s="1"/>
  <c r="D73" i="8" l="1"/>
  <c r="C73" i="8"/>
  <c r="B73" i="8"/>
  <c r="F72" i="8"/>
  <c r="F71" i="8"/>
  <c r="F70" i="8"/>
  <c r="F69" i="8"/>
  <c r="C67" i="8"/>
  <c r="B67" i="8"/>
  <c r="D66" i="8"/>
  <c r="D67" i="8" s="1"/>
  <c r="C66" i="8"/>
  <c r="F73" i="8" l="1"/>
  <c r="E73" i="8"/>
  <c r="F66" i="8"/>
  <c r="G73" i="8" l="1"/>
  <c r="G66" i="8"/>
  <c r="E67" i="8" l="1"/>
  <c r="F65" i="8"/>
  <c r="F67" i="8" l="1"/>
  <c r="G67" i="8"/>
  <c r="I45" i="31" l="1"/>
  <c r="H45" i="31"/>
  <c r="H8" i="29" l="1"/>
  <c r="H7" i="29"/>
  <c r="H6" i="29"/>
  <c r="H5" i="29"/>
  <c r="B55" i="29"/>
  <c r="C55" i="29" s="1"/>
  <c r="C36" i="29"/>
  <c r="C43" i="29" s="1"/>
  <c r="C35" i="29"/>
  <c r="C42" i="29" s="1"/>
  <c r="C34" i="29"/>
  <c r="C41" i="29" s="1"/>
  <c r="C33" i="29"/>
  <c r="C40" i="29" s="1"/>
  <c r="C32" i="29"/>
  <c r="C39" i="29" s="1"/>
  <c r="E12" i="29"/>
  <c r="F12" i="29" s="1"/>
  <c r="G12" i="29" s="1"/>
  <c r="H12" i="29" s="1"/>
  <c r="I12" i="29" s="1"/>
  <c r="J12" i="29" s="1"/>
  <c r="K12" i="29" s="1"/>
  <c r="L12" i="29" s="1"/>
  <c r="M12" i="29" s="1"/>
  <c r="C11" i="29"/>
  <c r="B11" i="29"/>
  <c r="H4" i="29"/>
  <c r="A1" i="29"/>
  <c r="F45" i="29" l="1"/>
  <c r="E45" i="31"/>
  <c r="G45" i="29"/>
  <c r="F45" i="31"/>
  <c r="E45" i="29"/>
  <c r="D45" i="31"/>
  <c r="H45" i="29"/>
  <c r="G45" i="31"/>
  <c r="H9" i="29"/>
  <c r="D47" i="31" l="1"/>
  <c r="E39" i="31" l="1"/>
  <c r="E47" i="31"/>
  <c r="F47" i="31" l="1"/>
  <c r="F39" i="31"/>
  <c r="G47" i="31" l="1"/>
  <c r="G39" i="31"/>
  <c r="H47" i="31" l="1"/>
  <c r="H39" i="31"/>
  <c r="I39" i="31" l="1"/>
  <c r="I47" i="31"/>
  <c r="B62" i="8" l="1"/>
  <c r="B56" i="8"/>
  <c r="F54" i="8" l="1"/>
  <c r="F59" i="8" l="1"/>
  <c r="F61" i="8" l="1"/>
  <c r="F60" i="8" l="1"/>
  <c r="E62" i="8"/>
  <c r="E56" i="8"/>
  <c r="D62" i="8" l="1"/>
  <c r="D55" i="8"/>
  <c r="D56" i="8" s="1"/>
  <c r="C62" i="8"/>
  <c r="C55" i="8"/>
  <c r="F58" i="8"/>
  <c r="F62" i="8" l="1"/>
  <c r="F55" i="8"/>
  <c r="C56" i="8"/>
  <c r="G62" i="8" l="1"/>
  <c r="G55" i="8"/>
  <c r="G8" i="8" s="1"/>
  <c r="G9" i="8" s="1"/>
  <c r="F56" i="8"/>
  <c r="G56" i="8" l="1"/>
  <c r="D14" i="30" l="1"/>
  <c r="B14" i="30" s="1"/>
  <c r="D17" i="30"/>
  <c r="B17" i="30" s="1"/>
  <c r="D15" i="30"/>
  <c r="B15" i="30" s="1"/>
  <c r="D16" i="30"/>
  <c r="B16" i="30" s="1"/>
  <c r="B18" i="30" l="1"/>
  <c r="D18" i="30"/>
  <c r="C41" i="31" l="1"/>
  <c r="G6" i="31"/>
  <c r="C40" i="31"/>
  <c r="G5" i="31"/>
  <c r="B55" i="31"/>
  <c r="C55" i="31" s="1"/>
  <c r="G8" i="31"/>
  <c r="C43" i="31"/>
  <c r="G7" i="31"/>
  <c r="C42" i="31"/>
  <c r="D15" i="28" l="1"/>
  <c r="D43" i="3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C15" i="28"/>
  <c r="G51" i="31" l="1"/>
  <c r="G48" i="31"/>
  <c r="G50" i="31"/>
  <c r="G49" i="31"/>
  <c r="F53" i="31"/>
  <c r="G42" i="31"/>
  <c r="E52" i="31"/>
  <c r="F55" i="31"/>
  <c r="G40" i="31"/>
  <c r="G43" i="31"/>
  <c r="G41" i="31"/>
  <c r="H51" i="31" l="1"/>
  <c r="H50" i="31"/>
  <c r="H48" i="31"/>
  <c r="H49" i="31"/>
  <c r="H43" i="31"/>
  <c r="F52" i="31"/>
  <c r="G55" i="31"/>
  <c r="H40" i="31"/>
  <c r="G53" i="31"/>
  <c r="H42" i="31"/>
  <c r="H41" i="31"/>
  <c r="E15" i="28"/>
  <c r="H53" i="31" l="1"/>
  <c r="I42" i="31"/>
  <c r="I50" i="31"/>
  <c r="G52" i="31"/>
  <c r="H55" i="31"/>
  <c r="I40" i="31"/>
  <c r="I48" i="31"/>
  <c r="I49" i="31"/>
  <c r="I41" i="31"/>
  <c r="I51" i="31"/>
  <c r="I43" i="31"/>
  <c r="H52" i="31" l="1"/>
  <c r="I55" i="31"/>
  <c r="I52" i="31" s="1"/>
  <c r="I53" i="31"/>
  <c r="B20" i="28"/>
  <c r="B38" i="28" l="1"/>
  <c r="B37" i="28"/>
  <c r="B36" i="28"/>
  <c r="B35" i="28"/>
  <c r="B31" i="28"/>
  <c r="F26" i="28"/>
  <c r="D20" i="28"/>
  <c r="C20" i="28"/>
  <c r="F24" i="28"/>
  <c r="E27" i="28"/>
  <c r="D27" i="28"/>
  <c r="C27" i="28"/>
  <c r="F23" i="28"/>
  <c r="E20" i="28"/>
  <c r="F19" i="28"/>
  <c r="A2" i="28"/>
  <c r="A1" i="28"/>
  <c r="B8" i="28" l="1"/>
  <c r="B15" i="28"/>
  <c r="G19" i="28"/>
  <c r="G23" i="28"/>
  <c r="G26" i="28"/>
  <c r="G24" i="28"/>
  <c r="D21" i="28"/>
  <c r="E21" i="28"/>
  <c r="C21" i="28"/>
  <c r="D39" i="28"/>
  <c r="C39" i="28"/>
  <c r="F36" i="28"/>
  <c r="E39" i="28"/>
  <c r="E32" i="28"/>
  <c r="D32" i="28"/>
  <c r="F35" i="28"/>
  <c r="C32" i="28"/>
  <c r="F31" i="28"/>
  <c r="F38" i="28"/>
  <c r="F37" i="28"/>
  <c r="B32" i="28"/>
  <c r="B9" i="28" s="1"/>
  <c r="F20" i="28"/>
  <c r="F25" i="28"/>
  <c r="B27" i="28"/>
  <c r="B39" i="28"/>
  <c r="B21" i="28"/>
  <c r="G34" i="29" l="1"/>
  <c r="G36" i="28"/>
  <c r="G12" i="28" s="1"/>
  <c r="E32" i="29"/>
  <c r="G32" i="29"/>
  <c r="G31" i="28"/>
  <c r="G7" i="28" s="1"/>
  <c r="E35" i="29"/>
  <c r="G35" i="29"/>
  <c r="F35" i="29"/>
  <c r="G37" i="28"/>
  <c r="G38" i="28"/>
  <c r="G14" i="28" s="1"/>
  <c r="F33" i="29"/>
  <c r="E33" i="29"/>
  <c r="E40" i="29" s="1"/>
  <c r="G33" i="29"/>
  <c r="G35" i="28"/>
  <c r="G11" i="28" s="1"/>
  <c r="E33" i="28"/>
  <c r="G36" i="29"/>
  <c r="E34" i="29"/>
  <c r="E41" i="29" s="1"/>
  <c r="C33" i="28"/>
  <c r="D33" i="28"/>
  <c r="F34" i="29"/>
  <c r="E36" i="29"/>
  <c r="E51" i="29" s="1"/>
  <c r="H33" i="29"/>
  <c r="I33" i="29"/>
  <c r="J33" i="29"/>
  <c r="F36" i="29"/>
  <c r="J35" i="29"/>
  <c r="I35" i="29"/>
  <c r="H32" i="29"/>
  <c r="J32" i="29"/>
  <c r="I32" i="29"/>
  <c r="G25" i="28"/>
  <c r="G13" i="28" s="1"/>
  <c r="J34" i="29"/>
  <c r="I34" i="29"/>
  <c r="H34" i="29"/>
  <c r="J36" i="29"/>
  <c r="I36" i="29"/>
  <c r="C9" i="28"/>
  <c r="E9" i="28"/>
  <c r="D9" i="28"/>
  <c r="F32" i="29"/>
  <c r="F27" i="28"/>
  <c r="F21" i="28"/>
  <c r="F32" i="28"/>
  <c r="G32" i="28" s="1"/>
  <c r="F39" i="28"/>
  <c r="B33" i="28"/>
  <c r="F7" i="28"/>
  <c r="G39" i="28" l="1"/>
  <c r="E48" i="29"/>
  <c r="F40" i="29" s="1"/>
  <c r="E49" i="29"/>
  <c r="F49" i="29" s="1"/>
  <c r="E43" i="29"/>
  <c r="F51" i="29" s="1"/>
  <c r="K13" i="29"/>
  <c r="F8" i="29"/>
  <c r="G13" i="29"/>
  <c r="F13" i="29"/>
  <c r="F4" i="29"/>
  <c r="G20" i="28"/>
  <c r="F6" i="29"/>
  <c r="E13" i="29"/>
  <c r="F5" i="29"/>
  <c r="H36" i="29"/>
  <c r="E42" i="29"/>
  <c r="E50" i="29"/>
  <c r="E47" i="29"/>
  <c r="E39" i="29"/>
  <c r="G33" i="28"/>
  <c r="L13" i="29"/>
  <c r="J13" i="29"/>
  <c r="G27" i="28"/>
  <c r="I13" i="29"/>
  <c r="F7" i="29"/>
  <c r="H35" i="29"/>
  <c r="H13" i="29"/>
  <c r="F15" i="28"/>
  <c r="F33" i="28"/>
  <c r="F8" i="28"/>
  <c r="F9" i="28" s="1"/>
  <c r="F41" i="29" l="1"/>
  <c r="G41" i="29" s="1"/>
  <c r="F48" i="29"/>
  <c r="G40" i="29" s="1"/>
  <c r="P13" i="29"/>
  <c r="G8" i="28"/>
  <c r="G9" i="28" s="1"/>
  <c r="G15" i="28"/>
  <c r="F43" i="29"/>
  <c r="G51" i="29" s="1"/>
  <c r="E53" i="29"/>
  <c r="G48" i="29"/>
  <c r="G21" i="28"/>
  <c r="F39" i="29"/>
  <c r="F47" i="29"/>
  <c r="F50" i="29"/>
  <c r="F42" i="29"/>
  <c r="E55" i="29"/>
  <c r="F9" i="29"/>
  <c r="G49" i="29" l="1"/>
  <c r="H49" i="29" s="1"/>
  <c r="G43" i="29"/>
  <c r="H43" i="29" s="1"/>
  <c r="E52" i="29"/>
  <c r="G42" i="29"/>
  <c r="G50" i="29"/>
  <c r="H40" i="29"/>
  <c r="H48" i="29"/>
  <c r="F53" i="29"/>
  <c r="F55" i="29"/>
  <c r="G39" i="29"/>
  <c r="G47" i="29"/>
  <c r="H51" i="29" l="1"/>
  <c r="I43" i="29" s="1"/>
  <c r="H41" i="29"/>
  <c r="I41" i="29" s="1"/>
  <c r="F52" i="29"/>
  <c r="I40" i="29"/>
  <c r="G53" i="29"/>
  <c r="G55" i="29"/>
  <c r="H47" i="29"/>
  <c r="H39" i="29"/>
  <c r="H50" i="29"/>
  <c r="H42" i="29"/>
  <c r="D42" i="22"/>
  <c r="D41" i="22"/>
  <c r="D40" i="22"/>
  <c r="D39" i="22"/>
  <c r="D38" i="22"/>
  <c r="G52" i="29" l="1"/>
  <c r="H53" i="29"/>
  <c r="H55" i="29"/>
  <c r="I42" i="29"/>
  <c r="I39" i="29"/>
  <c r="D9" i="10"/>
  <c r="H52" i="29" l="1"/>
  <c r="B10" i="10"/>
  <c r="B11" i="10" s="1"/>
  <c r="D8" i="10"/>
  <c r="C10" i="10"/>
  <c r="C11" i="10" s="1"/>
  <c r="B43" i="13" l="1"/>
  <c r="F50" i="8" l="1"/>
  <c r="F49" i="8"/>
  <c r="F48" i="8"/>
  <c r="E51" i="8"/>
  <c r="D51" i="8"/>
  <c r="C51" i="8"/>
  <c r="B51" i="8"/>
  <c r="B45" i="8"/>
  <c r="F47" i="8" l="1"/>
  <c r="F51" i="8" l="1"/>
  <c r="G51" i="8"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2" i="10"/>
  <c r="A1" i="10"/>
  <c r="A1" i="23"/>
  <c r="A2" i="8"/>
  <c r="A1" i="8"/>
  <c r="A1" i="24"/>
  <c r="A1" i="16"/>
  <c r="A1" i="19"/>
  <c r="A1" i="12"/>
  <c r="A1" i="22"/>
  <c r="A1" i="15"/>
  <c r="A2" i="12"/>
  <c r="A1" i="5"/>
  <c r="C42" i="16"/>
  <c r="B15" i="8" l="1"/>
  <c r="B61" i="22"/>
  <c r="B9" i="8" l="1"/>
  <c r="Q16" i="22"/>
  <c r="Q18" i="22" l="1"/>
  <c r="Q17" i="22"/>
  <c r="Q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C46" i="24"/>
  <c r="E12" i="24"/>
  <c r="F12" i="24" s="1"/>
  <c r="G12" i="24" s="1"/>
  <c r="H12" i="24" s="1"/>
  <c r="I12" i="24" s="1"/>
  <c r="J12" i="24" s="1"/>
  <c r="K12" i="24" s="1"/>
  <c r="L12" i="24" s="1"/>
  <c r="M12" i="24" s="1"/>
  <c r="I8" i="24"/>
  <c r="I4" i="24"/>
  <c r="D46" i="24" l="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C17" i="10" l="1"/>
  <c r="L12" i="15"/>
  <c r="B27" i="8"/>
  <c r="L12" i="16"/>
  <c r="B21" i="8" l="1"/>
  <c r="D42" i="16" l="1"/>
  <c r="D16" i="16"/>
  <c r="B56" i="16" l="1"/>
  <c r="B57" i="15"/>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44"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E48" i="15" s="1"/>
  <c r="C43" i="15"/>
  <c r="C47" i="15" s="1"/>
  <c r="D47" i="15" s="1"/>
  <c r="M24" i="15"/>
  <c r="M23" i="15"/>
  <c r="J43" i="15"/>
  <c r="I43" i="15"/>
  <c r="H43" i="15"/>
  <c r="G43" i="15"/>
  <c r="F43" i="15"/>
  <c r="E43" i="15"/>
  <c r="I5" i="15"/>
  <c r="I4" i="15"/>
  <c r="E47" i="15" l="1"/>
  <c r="D48" i="15"/>
  <c r="E53" i="15"/>
  <c r="E52" i="15"/>
  <c r="I6" i="15"/>
  <c r="I6" i="16"/>
  <c r="F47" i="15" l="1"/>
  <c r="E57" i="15"/>
  <c r="E54" i="15" s="1"/>
  <c r="F48" i="15"/>
  <c r="E55" i="15"/>
  <c r="D10" i="10" l="1"/>
  <c r="D11" i="10" s="1"/>
  <c r="B17" i="10" l="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33" i="8"/>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E35" i="23" l="1"/>
  <c r="F35" i="23"/>
  <c r="G35" i="23"/>
  <c r="E13" i="5" l="1"/>
  <c r="E50" i="23"/>
  <c r="E42" i="23"/>
  <c r="I35" i="23"/>
  <c r="H35" i="23"/>
  <c r="F4" i="23"/>
  <c r="J35" i="23"/>
  <c r="F42" i="23" l="1"/>
  <c r="F12" i="8" l="1"/>
  <c r="F36" i="8"/>
  <c r="G36" i="8" l="1"/>
  <c r="E37" i="23"/>
  <c r="G37" i="23"/>
  <c r="F37" i="23"/>
  <c r="H37" i="23"/>
  <c r="F14" i="8"/>
  <c r="F38" i="8"/>
  <c r="G38" i="8" l="1"/>
  <c r="G39" i="23"/>
  <c r="E39" i="23"/>
  <c r="F39" i="23"/>
  <c r="H39" i="23"/>
  <c r="E15" i="5"/>
  <c r="I37" i="23"/>
  <c r="J37" i="23"/>
  <c r="E52" i="23"/>
  <c r="E44" i="23"/>
  <c r="E17" i="5" l="1"/>
  <c r="I39" i="23"/>
  <c r="E46" i="23"/>
  <c r="E54" i="23"/>
  <c r="F44" i="23"/>
  <c r="J39" i="23"/>
  <c r="F46" i="23" l="1"/>
  <c r="F13" i="8"/>
  <c r="F37" i="8"/>
  <c r="G37" i="8" l="1"/>
  <c r="F38" i="23"/>
  <c r="G38" i="23"/>
  <c r="E38" i="23"/>
  <c r="H38" i="23"/>
  <c r="E39" i="8"/>
  <c r="E16" i="5" l="1"/>
  <c r="I38" i="23"/>
  <c r="J38" i="23"/>
  <c r="E53" i="23"/>
  <c r="E45" i="23"/>
  <c r="E45" i="8"/>
  <c r="E33" i="8"/>
  <c r="F45" i="23" l="1"/>
  <c r="D45" i="8" l="1"/>
  <c r="C45" i="8" l="1"/>
  <c r="F44" i="8"/>
  <c r="F45" i="8" l="1"/>
  <c r="D39" i="8"/>
  <c r="C39" i="8"/>
  <c r="F35" i="8"/>
  <c r="G35" i="8" l="1"/>
  <c r="C33" i="8"/>
  <c r="F32" i="8"/>
  <c r="D33" i="8"/>
  <c r="G45" i="8"/>
  <c r="F11" i="8"/>
  <c r="F15" i="8" s="1"/>
  <c r="F39" i="8"/>
  <c r="G32" i="8" l="1"/>
  <c r="F8" i="8"/>
  <c r="F9" i="8" s="1"/>
  <c r="E14" i="5"/>
  <c r="F33" i="8"/>
  <c r="G36" i="23"/>
  <c r="G16" i="23"/>
  <c r="E36" i="23"/>
  <c r="E16" i="23"/>
  <c r="F36" i="23"/>
  <c r="F16" i="23"/>
  <c r="G39" i="8"/>
  <c r="G33" i="8" l="1"/>
  <c r="E43" i="23"/>
  <c r="E51" i="23"/>
  <c r="L16" i="23"/>
  <c r="H36" i="23"/>
  <c r="F5" i="23"/>
  <c r="H16" i="23"/>
  <c r="K16" i="23"/>
  <c r="P16" i="23" s="1"/>
  <c r="J36" i="23"/>
  <c r="J16" i="23"/>
  <c r="I36" i="23"/>
  <c r="I16" i="23"/>
  <c r="F43" i="23" l="1"/>
  <c r="E58" i="23"/>
  <c r="E55" i="23" s="1"/>
  <c r="E56" i="23"/>
  <c r="F6" i="23"/>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J48" i="23"/>
  <c r="I36" i="13"/>
  <c r="J51" i="22"/>
  <c r="J49" i="16"/>
  <c r="J52" i="24"/>
  <c r="F52" i="24"/>
  <c r="E36" i="13"/>
  <c r="F49" i="16"/>
  <c r="F48" i="23"/>
  <c r="F52" i="23" s="1"/>
  <c r="F51" i="22"/>
  <c r="F53" i="15"/>
  <c r="F52" i="15"/>
  <c r="H52" i="24"/>
  <c r="H48" i="23"/>
  <c r="H49" i="16"/>
  <c r="H51" i="22"/>
  <c r="G36" i="13"/>
  <c r="F36" i="13"/>
  <c r="G48" i="23"/>
  <c r="G49" i="16"/>
  <c r="G51" i="22"/>
  <c r="G52" i="24"/>
  <c r="K45" i="29" l="1"/>
  <c r="J45" i="31"/>
  <c r="J53" i="29"/>
  <c r="I52" i="29"/>
  <c r="J55" i="29"/>
  <c r="F58" i="24"/>
  <c r="F54" i="24"/>
  <c r="F57" i="24"/>
  <c r="F56" i="24"/>
  <c r="F55" i="24"/>
  <c r="E39" i="13"/>
  <c r="E38" i="13"/>
  <c r="G48" i="15"/>
  <c r="G53" i="15"/>
  <c r="G52" i="15"/>
  <c r="G47" i="15"/>
  <c r="F55" i="15"/>
  <c r="F57" i="15"/>
  <c r="F54" i="15" s="1"/>
  <c r="F57" i="22"/>
  <c r="F56" i="22"/>
  <c r="F53" i="22"/>
  <c r="F54" i="22"/>
  <c r="F55" i="22"/>
  <c r="F50" i="23"/>
  <c r="F54" i="23"/>
  <c r="F53" i="23"/>
  <c r="F51" i="23"/>
  <c r="F51" i="16"/>
  <c r="F52" i="16"/>
  <c r="K48" i="23"/>
  <c r="J36" i="13"/>
  <c r="K52" i="24"/>
  <c r="K49" i="16"/>
  <c r="K51" i="22"/>
  <c r="H53" i="15" l="1"/>
  <c r="H52" i="15"/>
  <c r="H47" i="15"/>
  <c r="L45" i="29"/>
  <c r="K45" i="31"/>
  <c r="J52" i="29"/>
  <c r="E41" i="13"/>
  <c r="E43" i="13"/>
  <c r="E40" i="13" s="1"/>
  <c r="F33" i="13"/>
  <c r="F38" i="13"/>
  <c r="G57" i="22"/>
  <c r="G49" i="22"/>
  <c r="F34" i="13"/>
  <c r="F39" i="13"/>
  <c r="H48" i="15"/>
  <c r="F60" i="24"/>
  <c r="G47" i="24"/>
  <c r="G55" i="24"/>
  <c r="G53" i="23"/>
  <c r="G45" i="23"/>
  <c r="G52" i="23"/>
  <c r="G44" i="23"/>
  <c r="G55" i="22"/>
  <c r="G47" i="22"/>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K36" i="13"/>
  <c r="L49" i="16"/>
  <c r="L51" i="22"/>
  <c r="L52" i="24"/>
  <c r="G43" i="23"/>
  <c r="G51" i="23"/>
  <c r="G48" i="22"/>
  <c r="G56" i="22"/>
  <c r="G58" i="24"/>
  <c r="G50" i="24"/>
  <c r="G38" i="13" l="1"/>
  <c r="G39" i="13"/>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57" i="15"/>
  <c r="H54" i="15" s="1"/>
  <c r="H55" i="15"/>
  <c r="I47" i="15"/>
  <c r="I52" i="15"/>
  <c r="H43" i="23"/>
  <c r="H51" i="23"/>
  <c r="H46" i="23"/>
  <c r="H54" i="23"/>
  <c r="G61" i="22"/>
  <c r="G58" i="22" s="1"/>
  <c r="G59" i="22"/>
  <c r="H47" i="16"/>
  <c r="H52" i="16"/>
  <c r="H48" i="24"/>
  <c r="H56" i="24"/>
  <c r="H56" i="22"/>
  <c r="H48" i="22"/>
  <c r="G62" i="24"/>
  <c r="G59" i="24" s="1"/>
  <c r="H45" i="23"/>
  <c r="H53" i="23"/>
  <c r="H39" i="13" l="1"/>
  <c r="H38" i="13"/>
  <c r="G41" i="13"/>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I38" i="13" l="1"/>
  <c r="I34" i="13"/>
  <c r="I39" i="13"/>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J44" i="23"/>
  <c r="J52" i="23"/>
  <c r="J47" i="24"/>
  <c r="J55" i="24"/>
  <c r="J57" i="22"/>
  <c r="J49" i="22"/>
  <c r="I54" i="16"/>
  <c r="I56" i="16"/>
  <c r="I53" i="16" s="1"/>
  <c r="I33" i="13"/>
  <c r="J56" i="22"/>
  <c r="J48" i="22"/>
  <c r="J46" i="22"/>
  <c r="J54" i="22"/>
  <c r="J43" i="23"/>
  <c r="J51" i="23"/>
  <c r="J50" i="23"/>
  <c r="J42" i="23"/>
  <c r="J46" i="24"/>
  <c r="J54" i="24"/>
  <c r="H41" i="13"/>
  <c r="H43" i="13"/>
  <c r="H40" i="13" s="1"/>
  <c r="J47" i="22"/>
  <c r="J55" i="22"/>
  <c r="I59" i="22"/>
  <c r="I61" i="22"/>
  <c r="I58" i="22" s="1"/>
  <c r="J62" i="24" l="1"/>
  <c r="J59" i="24" s="1"/>
  <c r="J56" i="16"/>
  <c r="J53" i="16" s="1"/>
  <c r="J54" i="16"/>
  <c r="J56" i="23"/>
  <c r="J58" i="23"/>
  <c r="J55" i="23" s="1"/>
  <c r="I43" i="13"/>
  <c r="I40" i="13" s="1"/>
  <c r="I41" i="13"/>
  <c r="J60" i="24"/>
  <c r="J61" i="22"/>
  <c r="J58" i="22" s="1"/>
  <c r="J59" i="22"/>
  <c r="E11" i="19" l="1"/>
  <c r="N25" i="24" l="1"/>
  <c r="F6" i="24" s="1"/>
  <c r="N24" i="24"/>
  <c r="F5" i="24" s="1"/>
  <c r="N23" i="24" l="1"/>
  <c r="F4" i="24" s="1"/>
  <c r="P23" i="24"/>
  <c r="P25" i="24"/>
  <c r="P24" i="24"/>
  <c r="N27" i="24"/>
  <c r="F8" i="24" s="1"/>
  <c r="N26" i="24"/>
  <c r="F7" i="24" s="1"/>
  <c r="P27" i="24" l="1"/>
  <c r="P26" i="24"/>
  <c r="F9" i="24"/>
  <c r="P31" i="24" l="1"/>
  <c r="P33" i="24"/>
  <c r="G5" i="24"/>
  <c r="P30" i="24"/>
  <c r="K13" i="24"/>
  <c r="P32" i="24" l="1"/>
  <c r="P34" i="24"/>
  <c r="G6" i="24"/>
  <c r="G4" i="24"/>
  <c r="G7" i="24"/>
  <c r="G8" i="24" l="1"/>
  <c r="L13" i="24"/>
  <c r="P13" i="24" s="1"/>
  <c r="G9" i="24" l="1"/>
  <c r="C6" i="19" l="1"/>
  <c r="B11" i="19" l="1"/>
  <c r="D13" i="5"/>
  <c r="C10" i="19"/>
  <c r="C7" i="19"/>
  <c r="C8" i="19" l="1"/>
  <c r="C9" i="19"/>
  <c r="D17" i="5"/>
  <c r="C11" i="19" l="1"/>
  <c r="D16" i="5"/>
  <c r="D15" i="5"/>
  <c r="D11" i="19"/>
  <c r="D14" i="5"/>
  <c r="D10" i="18" l="1"/>
  <c r="C8" i="18" l="1"/>
  <c r="C16" i="5" s="1"/>
  <c r="C7" i="18"/>
  <c r="C6" i="18"/>
  <c r="C5" i="18"/>
  <c r="C14" i="5" l="1"/>
  <c r="G5" i="36"/>
  <c r="F39" i="36"/>
  <c r="G7" i="36"/>
  <c r="F41" i="36"/>
  <c r="F40" i="36"/>
  <c r="G6" i="36"/>
  <c r="C15" i="5"/>
  <c r="G4" i="36"/>
  <c r="F38" i="36"/>
  <c r="C13" i="5"/>
  <c r="C9" i="18" l="1"/>
  <c r="F48" i="36"/>
  <c r="F56" i="36"/>
  <c r="F45" i="36"/>
  <c r="F53" i="36"/>
  <c r="F46" i="36"/>
  <c r="F54" i="36"/>
  <c r="F47" i="36"/>
  <c r="F55" i="36"/>
  <c r="G46" i="36" l="1"/>
  <c r="G54" i="36"/>
  <c r="G53" i="36"/>
  <c r="G45" i="36"/>
  <c r="G47" i="36"/>
  <c r="G55" i="36"/>
  <c r="G56" i="36"/>
  <c r="G48" i="36"/>
  <c r="Q19" i="36"/>
  <c r="F42" i="36"/>
  <c r="G8" i="36"/>
  <c r="Q17" i="36"/>
  <c r="Q16" i="36"/>
  <c r="Q18" i="36"/>
  <c r="C17" i="5"/>
  <c r="J8" i="5" s="1"/>
  <c r="C10" i="18"/>
  <c r="H48" i="36" l="1"/>
  <c r="H56" i="36"/>
  <c r="H47" i="36"/>
  <c r="H55" i="36"/>
  <c r="H53" i="36"/>
  <c r="H45" i="36"/>
  <c r="G9" i="36"/>
  <c r="F57" i="36"/>
  <c r="F49" i="36"/>
  <c r="H54" i="36"/>
  <c r="H46" i="36"/>
  <c r="I45" i="36" l="1"/>
  <c r="I53" i="36"/>
  <c r="I54" i="36"/>
  <c r="I46" i="36"/>
  <c r="I47" i="36"/>
  <c r="I55" i="36"/>
  <c r="G57" i="36"/>
  <c r="G49" i="36"/>
  <c r="F59" i="36"/>
  <c r="F61" i="36"/>
  <c r="F58" i="36" s="1"/>
  <c r="I56" i="36"/>
  <c r="I48" i="36"/>
  <c r="G59" i="36" l="1"/>
  <c r="G61" i="36"/>
  <c r="G58" i="36" s="1"/>
  <c r="J46" i="36"/>
  <c r="J54" i="36"/>
  <c r="H57" i="36"/>
  <c r="H49" i="36"/>
  <c r="J47" i="36"/>
  <c r="J55" i="36"/>
  <c r="J53" i="36"/>
  <c r="J45" i="36"/>
  <c r="J48" i="36"/>
  <c r="J56" i="36"/>
  <c r="H59" i="36" l="1"/>
  <c r="H61" i="36"/>
  <c r="H58" i="36" s="1"/>
  <c r="I49" i="36"/>
  <c r="I57" i="36"/>
  <c r="I59" i="36" l="1"/>
  <c r="I61" i="36"/>
  <c r="I58" i="36" s="1"/>
  <c r="J57" i="36"/>
  <c r="J49" i="36"/>
  <c r="J61" i="36" l="1"/>
  <c r="J58" i="36" s="1"/>
  <c r="J59" i="36"/>
  <c r="M27" i="15" l="1"/>
  <c r="L27" i="15"/>
  <c r="K27" i="15" l="1"/>
  <c r="L16" i="29"/>
  <c r="L32" i="29" s="1"/>
  <c r="K16" i="31"/>
  <c r="K32" i="31" s="1"/>
  <c r="L22" i="22"/>
  <c r="L29" i="22" s="1"/>
  <c r="L38" i="22" s="1"/>
  <c r="L16" i="24"/>
  <c r="L39" i="24" s="1"/>
  <c r="L19" i="23"/>
  <c r="L35" i="23" s="1"/>
  <c r="L19" i="16"/>
  <c r="L42" i="16" s="1"/>
  <c r="L34" i="15"/>
  <c r="L43" i="15" s="1"/>
  <c r="K19" i="13"/>
  <c r="K29" i="13" s="1"/>
  <c r="L22" i="36"/>
  <c r="L29" i="36" s="1"/>
  <c r="L38" i="36" s="1"/>
  <c r="M19" i="23"/>
  <c r="M35" i="23" s="1"/>
  <c r="M19" i="16"/>
  <c r="M42" i="16" s="1"/>
  <c r="L19" i="13"/>
  <c r="L29" i="13" s="1"/>
  <c r="M22" i="36"/>
  <c r="M29" i="36" s="1"/>
  <c r="M38" i="36" s="1"/>
  <c r="M34" i="15"/>
  <c r="M43" i="15" s="1"/>
  <c r="L16" i="31"/>
  <c r="L32" i="31" s="1"/>
  <c r="M16" i="29"/>
  <c r="M32" i="29" s="1"/>
  <c r="M16" i="24"/>
  <c r="M39" i="24" s="1"/>
  <c r="M22" i="22"/>
  <c r="M29" i="22" s="1"/>
  <c r="M38" i="22" s="1"/>
  <c r="G4" i="5"/>
  <c r="T13" i="5" l="1"/>
  <c r="Y13" i="5"/>
  <c r="U13" i="5"/>
  <c r="Z13" i="5"/>
  <c r="X13" i="5"/>
  <c r="AA13" i="5"/>
  <c r="V13" i="5"/>
  <c r="K22" i="36"/>
  <c r="P27" i="15"/>
  <c r="K19" i="23"/>
  <c r="K16" i="24"/>
  <c r="J19" i="13"/>
  <c r="F4" i="15"/>
  <c r="K16" i="29"/>
  <c r="K19" i="16"/>
  <c r="K22" i="22"/>
  <c r="J16" i="31"/>
  <c r="K34" i="15"/>
  <c r="E4" i="23" l="1"/>
  <c r="G4" i="23" s="1"/>
  <c r="K35" i="23"/>
  <c r="P19" i="23"/>
  <c r="K29" i="36"/>
  <c r="F4" i="36"/>
  <c r="P22" i="36"/>
  <c r="K43" i="15"/>
  <c r="P34" i="15"/>
  <c r="E4" i="15"/>
  <c r="H4" i="15" s="1"/>
  <c r="O16" i="31"/>
  <c r="J32" i="31"/>
  <c r="D4" i="31"/>
  <c r="F4" i="31" s="1"/>
  <c r="K29" i="22"/>
  <c r="P22" i="22"/>
  <c r="F4" i="22"/>
  <c r="P19" i="16"/>
  <c r="E4" i="16"/>
  <c r="H4" i="16" s="1"/>
  <c r="K42" i="16"/>
  <c r="K32" i="29"/>
  <c r="E4" i="29"/>
  <c r="G4" i="29" s="1"/>
  <c r="P16" i="29"/>
  <c r="J29" i="13"/>
  <c r="O19" i="13"/>
  <c r="D4" i="13"/>
  <c r="F4" i="13" s="1"/>
  <c r="E4" i="24"/>
  <c r="H4" i="24" s="1"/>
  <c r="K39" i="24"/>
  <c r="P16" i="24"/>
  <c r="J39" i="31" l="1"/>
  <c r="J47" i="31"/>
  <c r="K46" i="16"/>
  <c r="K51" i="16"/>
  <c r="J33" i="13"/>
  <c r="J38" i="13"/>
  <c r="K52" i="15"/>
  <c r="K47" i="15"/>
  <c r="E4" i="36"/>
  <c r="H4" i="36" s="1"/>
  <c r="P29" i="36"/>
  <c r="K38" i="36"/>
  <c r="K38" i="22"/>
  <c r="E4" i="22"/>
  <c r="H4" i="22" s="1"/>
  <c r="P29" i="22"/>
  <c r="K46" i="24"/>
  <c r="K54" i="24"/>
  <c r="K42" i="23"/>
  <c r="K50" i="23"/>
  <c r="K39" i="29"/>
  <c r="K47" i="29"/>
  <c r="L47" i="15" l="1"/>
  <c r="L52" i="15"/>
  <c r="L42" i="23"/>
  <c r="L50" i="23"/>
  <c r="I4" i="23" s="1"/>
  <c r="J4" i="23" s="1"/>
  <c r="P52" i="15"/>
  <c r="J4" i="15"/>
  <c r="K4" i="15" s="1"/>
  <c r="K33" i="13"/>
  <c r="K38" i="13"/>
  <c r="H4" i="13" s="1"/>
  <c r="I4" i="13" s="1"/>
  <c r="L54" i="24"/>
  <c r="J4" i="24" s="1"/>
  <c r="K4" i="24" s="1"/>
  <c r="L46" i="24"/>
  <c r="L39" i="29"/>
  <c r="L47" i="29"/>
  <c r="L46" i="16"/>
  <c r="L51" i="16"/>
  <c r="J4" i="16" s="1"/>
  <c r="K53" i="22"/>
  <c r="K45" i="22"/>
  <c r="K45" i="36"/>
  <c r="K53" i="36"/>
  <c r="K39" i="31"/>
  <c r="K47" i="31"/>
  <c r="H4" i="31" s="1"/>
  <c r="I4" i="29" l="1"/>
  <c r="J4" i="29" s="1"/>
  <c r="I4" i="31"/>
  <c r="U22" i="5"/>
  <c r="E22" i="5"/>
  <c r="K4" i="16"/>
  <c r="L45" i="22"/>
  <c r="L53" i="22"/>
  <c r="J4" i="22" s="1"/>
  <c r="K4" i="22" s="1"/>
  <c r="X22" i="5" s="1"/>
  <c r="V22" i="5"/>
  <c r="F22" i="5"/>
  <c r="L38" i="13"/>
  <c r="O38" i="13" s="1"/>
  <c r="L33" i="13"/>
  <c r="J4" i="13" s="1"/>
  <c r="Z22" i="5"/>
  <c r="S22" i="5"/>
  <c r="L39" i="31"/>
  <c r="L47" i="31"/>
  <c r="O47" i="31" s="1"/>
  <c r="M51" i="16"/>
  <c r="P51" i="16" s="1"/>
  <c r="M46" i="16"/>
  <c r="M50" i="23"/>
  <c r="P50" i="23" s="1"/>
  <c r="M42" i="23"/>
  <c r="K4" i="23" s="1"/>
  <c r="M47" i="29"/>
  <c r="P47" i="29" s="1"/>
  <c r="M39" i="29"/>
  <c r="K4" i="29" s="1"/>
  <c r="M47" i="15"/>
  <c r="L4" i="15" s="1"/>
  <c r="M54" i="24"/>
  <c r="P54" i="24" s="1"/>
  <c r="M46" i="24"/>
  <c r="L4" i="24" s="1"/>
  <c r="L45" i="36"/>
  <c r="L53" i="36"/>
  <c r="J4" i="36" s="1"/>
  <c r="K4" i="36" s="1"/>
  <c r="Y22" i="5"/>
  <c r="P53" i="36" l="1"/>
  <c r="F4" i="5"/>
  <c r="M4" i="5"/>
  <c r="AC22" i="5"/>
  <c r="C22" i="5"/>
  <c r="J4" i="5" s="1"/>
  <c r="E5" i="20"/>
  <c r="M45" i="22"/>
  <c r="L4" i="22" s="1"/>
  <c r="B5" i="20"/>
  <c r="C14" i="20"/>
  <c r="D14" i="20"/>
  <c r="D22" i="5"/>
  <c r="T22" i="5"/>
  <c r="L4" i="16"/>
  <c r="E4" i="5"/>
  <c r="L4" i="5"/>
  <c r="U28" i="5" s="1"/>
  <c r="M45" i="36"/>
  <c r="L4" i="36" s="1"/>
  <c r="D5" i="20"/>
  <c r="P53" i="22"/>
  <c r="AA22" i="5"/>
  <c r="J4" i="31"/>
  <c r="E14" i="20" l="1"/>
  <c r="E32" i="20" s="1"/>
  <c r="E38" i="20" s="1"/>
  <c r="C5" i="20"/>
  <c r="C32" i="20" s="1"/>
  <c r="K4" i="5"/>
  <c r="T28" i="5" s="1"/>
  <c r="D4" i="5"/>
  <c r="B14" i="20"/>
  <c r="F14" i="20" s="1"/>
  <c r="D32" i="20"/>
  <c r="D38" i="20" s="1"/>
  <c r="S28" i="5"/>
  <c r="C4" i="5"/>
  <c r="B23" i="20"/>
  <c r="F23" i="20" s="1"/>
  <c r="AG13" i="5"/>
  <c r="F5" i="20"/>
  <c r="B32" i="20"/>
  <c r="V28" i="5"/>
  <c r="C38" i="20" l="1"/>
  <c r="F32" i="20"/>
  <c r="B38" i="20"/>
  <c r="H4" i="5"/>
  <c r="N4" i="5" l="1"/>
  <c r="G32" i="20"/>
  <c r="K29" i="15" l="1"/>
  <c r="K30" i="15"/>
  <c r="L30" i="15"/>
  <c r="L28" i="15"/>
  <c r="L31" i="15"/>
  <c r="K28" i="15"/>
  <c r="K31" i="15"/>
  <c r="M31" i="15"/>
  <c r="M28" i="15"/>
  <c r="L29" i="15"/>
  <c r="M30" i="15"/>
  <c r="M29" i="15"/>
  <c r="B8" i="18"/>
  <c r="G7" i="5" s="1"/>
  <c r="B9" i="18"/>
  <c r="G8" i="5" s="1"/>
  <c r="B7" i="18" l="1"/>
  <c r="G6" i="5" s="1"/>
  <c r="B6" i="18"/>
  <c r="U15" i="5"/>
  <c r="T15" i="5"/>
  <c r="Z15" i="5"/>
  <c r="AA15" i="5"/>
  <c r="V15" i="5"/>
  <c r="X15" i="5"/>
  <c r="Y15" i="5"/>
  <c r="G5" i="5"/>
  <c r="B10" i="18"/>
  <c r="V16" i="5"/>
  <c r="U16" i="5"/>
  <c r="Y16" i="5"/>
  <c r="X16" i="5"/>
  <c r="T16" i="5"/>
  <c r="AA16" i="5"/>
  <c r="Z16" i="5"/>
  <c r="T17" i="5"/>
  <c r="U17" i="5"/>
  <c r="X17" i="5"/>
  <c r="V17" i="5"/>
  <c r="AA17" i="5"/>
  <c r="Y17" i="5"/>
  <c r="Z17" i="5"/>
  <c r="P31" i="15"/>
  <c r="K20" i="29"/>
  <c r="K26" i="36"/>
  <c r="K38" i="15"/>
  <c r="K20" i="24"/>
  <c r="K26" i="22"/>
  <c r="K23" i="23"/>
  <c r="K23" i="16"/>
  <c r="K17" i="29"/>
  <c r="K20" i="16"/>
  <c r="J20" i="31"/>
  <c r="F5" i="15"/>
  <c r="F6" i="15" s="1"/>
  <c r="P28" i="15"/>
  <c r="K20" i="23"/>
  <c r="K35" i="15"/>
  <c r="J20" i="13"/>
  <c r="K23" i="22"/>
  <c r="K17" i="24"/>
  <c r="K23" i="36"/>
  <c r="J17" i="31"/>
  <c r="L20" i="31"/>
  <c r="L36" i="31" s="1"/>
  <c r="L20" i="13"/>
  <c r="L30" i="13" s="1"/>
  <c r="M17" i="24"/>
  <c r="M40" i="24" s="1"/>
  <c r="M17" i="29"/>
  <c r="M33" i="29" s="1"/>
  <c r="L17" i="31"/>
  <c r="L33" i="31" s="1"/>
  <c r="M20" i="16"/>
  <c r="M35" i="15"/>
  <c r="M23" i="36"/>
  <c r="M30" i="36" s="1"/>
  <c r="M39" i="36" s="1"/>
  <c r="M23" i="22"/>
  <c r="M30" i="22" s="1"/>
  <c r="M39" i="22" s="1"/>
  <c r="M20" i="23"/>
  <c r="M36" i="23" s="1"/>
  <c r="L20" i="29"/>
  <c r="L36" i="29" s="1"/>
  <c r="L38" i="15"/>
  <c r="L26" i="22"/>
  <c r="L33" i="22" s="1"/>
  <c r="L42" i="22" s="1"/>
  <c r="L20" i="24"/>
  <c r="L43" i="24" s="1"/>
  <c r="L23" i="23"/>
  <c r="L39" i="23" s="1"/>
  <c r="L23" i="16"/>
  <c r="L26" i="36"/>
  <c r="L33" i="36" s="1"/>
  <c r="L42" i="36" s="1"/>
  <c r="M24" i="36"/>
  <c r="M31" i="36" s="1"/>
  <c r="M40" i="36" s="1"/>
  <c r="M18" i="29"/>
  <c r="M34" i="29" s="1"/>
  <c r="M21" i="16"/>
  <c r="L18" i="31"/>
  <c r="L34" i="31" s="1"/>
  <c r="M18" i="24"/>
  <c r="M41" i="24" s="1"/>
  <c r="M21" i="23"/>
  <c r="M37" i="23" s="1"/>
  <c r="M24" i="22"/>
  <c r="M31" i="22" s="1"/>
  <c r="M40" i="22" s="1"/>
  <c r="M36" i="15"/>
  <c r="L23" i="36"/>
  <c r="L30" i="36" s="1"/>
  <c r="L39" i="36" s="1"/>
  <c r="K17" i="31"/>
  <c r="K33" i="31" s="1"/>
  <c r="L35" i="15"/>
  <c r="K20" i="13"/>
  <c r="K30" i="13" s="1"/>
  <c r="L23" i="22"/>
  <c r="L30" i="22" s="1"/>
  <c r="L39" i="22" s="1"/>
  <c r="L17" i="29"/>
  <c r="L33" i="29" s="1"/>
  <c r="L20" i="16"/>
  <c r="K20" i="31"/>
  <c r="K36" i="31" s="1"/>
  <c r="L20" i="23"/>
  <c r="L36" i="23" s="1"/>
  <c r="L17" i="24"/>
  <c r="L40" i="24" s="1"/>
  <c r="L21" i="16"/>
  <c r="K18" i="31"/>
  <c r="K34" i="31" s="1"/>
  <c r="L18" i="24"/>
  <c r="L41" i="24" s="1"/>
  <c r="L18" i="29"/>
  <c r="L34" i="29" s="1"/>
  <c r="L36" i="15"/>
  <c r="L24" i="22"/>
  <c r="L31" i="22" s="1"/>
  <c r="L40" i="22" s="1"/>
  <c r="L21" i="23"/>
  <c r="L37" i="23" s="1"/>
  <c r="L24" i="36"/>
  <c r="L31" i="36" s="1"/>
  <c r="L40" i="36" s="1"/>
  <c r="L25" i="36"/>
  <c r="L32" i="36" s="1"/>
  <c r="L41" i="36" s="1"/>
  <c r="L19" i="29"/>
  <c r="L35" i="29" s="1"/>
  <c r="K19" i="31"/>
  <c r="K35" i="31" s="1"/>
  <c r="L37" i="15"/>
  <c r="L22" i="16"/>
  <c r="L22" i="23"/>
  <c r="L38" i="23" s="1"/>
  <c r="L19" i="24"/>
  <c r="L42" i="24" s="1"/>
  <c r="L25" i="22"/>
  <c r="L32" i="22" s="1"/>
  <c r="L41" i="22" s="1"/>
  <c r="K25" i="22"/>
  <c r="K22" i="23"/>
  <c r="K22" i="16"/>
  <c r="K19" i="24"/>
  <c r="K37" i="15"/>
  <c r="J19" i="31"/>
  <c r="K19" i="29"/>
  <c r="K25" i="36"/>
  <c r="P30" i="15"/>
  <c r="M25" i="22"/>
  <c r="M32" i="22" s="1"/>
  <c r="M41" i="22" s="1"/>
  <c r="M22" i="23"/>
  <c r="M38" i="23" s="1"/>
  <c r="M25" i="36"/>
  <c r="M32" i="36" s="1"/>
  <c r="M41" i="36" s="1"/>
  <c r="M19" i="29"/>
  <c r="M35" i="29" s="1"/>
  <c r="L19" i="31"/>
  <c r="L35" i="31" s="1"/>
  <c r="M37" i="15"/>
  <c r="M22" i="16"/>
  <c r="M19" i="24"/>
  <c r="M42" i="24" s="1"/>
  <c r="M26" i="22"/>
  <c r="M33" i="22" s="1"/>
  <c r="M42" i="22" s="1"/>
  <c r="M23" i="16"/>
  <c r="M23" i="23"/>
  <c r="M39" i="23" s="1"/>
  <c r="M20" i="24"/>
  <c r="M43" i="24" s="1"/>
  <c r="M38" i="15"/>
  <c r="M26" i="36"/>
  <c r="M33" i="36" s="1"/>
  <c r="M42" i="36" s="1"/>
  <c r="M20" i="29"/>
  <c r="M36" i="29" s="1"/>
  <c r="K21" i="16"/>
  <c r="J18" i="31"/>
  <c r="K36" i="15"/>
  <c r="K21" i="23"/>
  <c r="K18" i="24"/>
  <c r="P29" i="15"/>
  <c r="K24" i="36"/>
  <c r="K18" i="29"/>
  <c r="K24" i="22"/>
  <c r="Y14" i="5" l="1"/>
  <c r="T14" i="5"/>
  <c r="Z14" i="5"/>
  <c r="U14" i="5"/>
  <c r="V14" i="5"/>
  <c r="AA14" i="5"/>
  <c r="X14" i="5"/>
  <c r="P36" i="15"/>
  <c r="P37" i="15"/>
  <c r="K37" i="23"/>
  <c r="P21" i="23"/>
  <c r="O19" i="31"/>
  <c r="J35" i="31"/>
  <c r="D7" i="31"/>
  <c r="F7" i="31" s="1"/>
  <c r="E5" i="16"/>
  <c r="P20" i="16"/>
  <c r="K43" i="16"/>
  <c r="K41" i="24"/>
  <c r="E6" i="24"/>
  <c r="H6" i="24" s="1"/>
  <c r="P18" i="24"/>
  <c r="P17" i="29"/>
  <c r="E5" i="29"/>
  <c r="K33" i="29"/>
  <c r="P19" i="29"/>
  <c r="K35" i="29"/>
  <c r="E7" i="29"/>
  <c r="G7" i="29" s="1"/>
  <c r="O18" i="31"/>
  <c r="J34" i="31"/>
  <c r="D6" i="31"/>
  <c r="F6" i="31" s="1"/>
  <c r="K42" i="24"/>
  <c r="E7" i="24"/>
  <c r="H7" i="24" s="1"/>
  <c r="P19" i="24"/>
  <c r="J33" i="31"/>
  <c r="O17" i="31"/>
  <c r="D5" i="31"/>
  <c r="P21" i="16"/>
  <c r="P23" i="36"/>
  <c r="K30" i="36"/>
  <c r="F5" i="36"/>
  <c r="P22" i="16"/>
  <c r="K38" i="23"/>
  <c r="P22" i="23"/>
  <c r="K40" i="24"/>
  <c r="P17" i="24"/>
  <c r="E5" i="24"/>
  <c r="P23" i="16"/>
  <c r="F6" i="22"/>
  <c r="K31" i="22"/>
  <c r="P24" i="22"/>
  <c r="P23" i="22"/>
  <c r="F5" i="22"/>
  <c r="K30" i="22"/>
  <c r="K39" i="23"/>
  <c r="P23" i="23"/>
  <c r="F7" i="22"/>
  <c r="P25" i="22"/>
  <c r="K32" i="22"/>
  <c r="L43" i="16"/>
  <c r="M44" i="15"/>
  <c r="O20" i="13"/>
  <c r="D5" i="13"/>
  <c r="J30" i="13"/>
  <c r="K33" i="22"/>
  <c r="F8" i="22"/>
  <c r="P26" i="22"/>
  <c r="M43" i="16"/>
  <c r="P35" i="15"/>
  <c r="E5" i="15"/>
  <c r="K44" i="15"/>
  <c r="K43" i="24"/>
  <c r="P20" i="24"/>
  <c r="E8" i="24"/>
  <c r="H8" i="24" s="1"/>
  <c r="P18" i="29"/>
  <c r="K34" i="29"/>
  <c r="E6" i="29"/>
  <c r="G6" i="29" s="1"/>
  <c r="K36" i="23"/>
  <c r="E5" i="23"/>
  <c r="P20" i="23"/>
  <c r="P38" i="15"/>
  <c r="P26" i="36"/>
  <c r="F8" i="36"/>
  <c r="K33" i="36"/>
  <c r="P24" i="36"/>
  <c r="K31" i="36"/>
  <c r="F6" i="36"/>
  <c r="L44" i="15"/>
  <c r="P25" i="36"/>
  <c r="F7" i="36"/>
  <c r="K32" i="36"/>
  <c r="E8" i="29"/>
  <c r="G8" i="29" s="1"/>
  <c r="K36" i="29"/>
  <c r="P20" i="29"/>
  <c r="D8" i="31"/>
  <c r="F8" i="31" s="1"/>
  <c r="O20" i="31"/>
  <c r="J36" i="31"/>
  <c r="J51" i="31" l="1"/>
  <c r="J43" i="31"/>
  <c r="K46" i="23"/>
  <c r="K54" i="23"/>
  <c r="K41" i="29"/>
  <c r="K49" i="29"/>
  <c r="E8" i="22"/>
  <c r="H8" i="22" s="1"/>
  <c r="P33" i="22"/>
  <c r="K42" i="22"/>
  <c r="P30" i="22"/>
  <c r="E5" i="22"/>
  <c r="K39" i="22"/>
  <c r="K45" i="23"/>
  <c r="K53" i="23"/>
  <c r="K49" i="24"/>
  <c r="K57" i="24"/>
  <c r="K40" i="36"/>
  <c r="P31" i="36"/>
  <c r="E6" i="36"/>
  <c r="H6" i="36" s="1"/>
  <c r="F9" i="22"/>
  <c r="K48" i="24"/>
  <c r="K56" i="24"/>
  <c r="J39" i="13"/>
  <c r="J26" i="13"/>
  <c r="J34" i="13"/>
  <c r="F9" i="36"/>
  <c r="J41" i="31"/>
  <c r="J49" i="31"/>
  <c r="F5" i="13"/>
  <c r="D6" i="13"/>
  <c r="P30" i="36"/>
  <c r="K39" i="36"/>
  <c r="E5" i="36"/>
  <c r="K47" i="16"/>
  <c r="K52" i="16"/>
  <c r="K39" i="16"/>
  <c r="P31" i="22"/>
  <c r="E6" i="22"/>
  <c r="H6" i="22" s="1"/>
  <c r="K40" i="22"/>
  <c r="P33" i="36"/>
  <c r="E8" i="36"/>
  <c r="H8" i="36" s="1"/>
  <c r="K42" i="36"/>
  <c r="K58" i="24"/>
  <c r="K50" i="24"/>
  <c r="H5" i="15"/>
  <c r="E6" i="15"/>
  <c r="E7" i="22"/>
  <c r="H7" i="22" s="1"/>
  <c r="K41" i="22"/>
  <c r="P32" i="22"/>
  <c r="F5" i="31"/>
  <c r="D9" i="31"/>
  <c r="J42" i="31"/>
  <c r="J50" i="31"/>
  <c r="H5" i="16"/>
  <c r="E6" i="16"/>
  <c r="K50" i="29"/>
  <c r="K42" i="29"/>
  <c r="K51" i="29"/>
  <c r="K43" i="29"/>
  <c r="P32" i="36"/>
  <c r="E7" i="36"/>
  <c r="H7" i="36" s="1"/>
  <c r="K41" i="36"/>
  <c r="K48" i="29"/>
  <c r="K40" i="29"/>
  <c r="K29" i="29"/>
  <c r="J40" i="31"/>
  <c r="J48" i="31"/>
  <c r="J29" i="31"/>
  <c r="G5" i="29"/>
  <c r="E9" i="29"/>
  <c r="K48" i="15"/>
  <c r="K53" i="15"/>
  <c r="H5" i="24"/>
  <c r="E9" i="24"/>
  <c r="G5" i="23"/>
  <c r="G6" i="23" s="1"/>
  <c r="E6" i="23"/>
  <c r="K32" i="23"/>
  <c r="K43" i="23"/>
  <c r="K51" i="23"/>
  <c r="K47" i="24"/>
  <c r="K36" i="24"/>
  <c r="K55" i="24"/>
  <c r="K52" i="23"/>
  <c r="K44" i="23"/>
  <c r="L47" i="16" l="1"/>
  <c r="L52" i="16"/>
  <c r="J5" i="16" s="1"/>
  <c r="J6" i="16" s="1"/>
  <c r="L39" i="16"/>
  <c r="J43" i="13"/>
  <c r="K54" i="22"/>
  <c r="K46" i="22"/>
  <c r="K35" i="22"/>
  <c r="H6" i="15"/>
  <c r="K48" i="31"/>
  <c r="H5" i="31" s="1"/>
  <c r="I5" i="31" s="1"/>
  <c r="K40" i="31"/>
  <c r="K29" i="31"/>
  <c r="O29" i="31" s="1"/>
  <c r="H5" i="36"/>
  <c r="E9" i="36"/>
  <c r="H6" i="16"/>
  <c r="F6" i="13"/>
  <c r="K47" i="36"/>
  <c r="K55" i="36"/>
  <c r="H5" i="22"/>
  <c r="E9" i="22"/>
  <c r="L55" i="24"/>
  <c r="J5" i="24" s="1"/>
  <c r="K5" i="24" s="1"/>
  <c r="L47" i="24"/>
  <c r="L36" i="24"/>
  <c r="P36" i="24" s="1"/>
  <c r="L50" i="24"/>
  <c r="L58" i="24"/>
  <c r="J8" i="24" s="1"/>
  <c r="K8" i="24" s="1"/>
  <c r="J55" i="31"/>
  <c r="K55" i="29"/>
  <c r="L49" i="29"/>
  <c r="I6" i="29" s="1"/>
  <c r="J6" i="29" s="1"/>
  <c r="Z24" i="5" s="1"/>
  <c r="L41" i="29"/>
  <c r="G9" i="29"/>
  <c r="K53" i="29"/>
  <c r="F9" i="31"/>
  <c r="K60" i="24"/>
  <c r="L48" i="24"/>
  <c r="L56" i="24"/>
  <c r="J6" i="24" s="1"/>
  <c r="K6" i="24" s="1"/>
  <c r="K57" i="22"/>
  <c r="K49" i="22"/>
  <c r="L48" i="29"/>
  <c r="I5" i="29" s="1"/>
  <c r="J5" i="29" s="1"/>
  <c r="L40" i="29"/>
  <c r="L29" i="29"/>
  <c r="K47" i="22"/>
  <c r="K55" i="22"/>
  <c r="H9" i="24"/>
  <c r="L54" i="23"/>
  <c r="L46" i="23"/>
  <c r="L43" i="23"/>
  <c r="L51" i="23"/>
  <c r="L32" i="23"/>
  <c r="K48" i="36"/>
  <c r="K56" i="36"/>
  <c r="K49" i="31"/>
  <c r="H6" i="31" s="1"/>
  <c r="I6" i="31" s="1"/>
  <c r="AA24" i="5" s="1"/>
  <c r="E16" i="20" s="1"/>
  <c r="K41" i="31"/>
  <c r="L57" i="24"/>
  <c r="J7" i="24" s="1"/>
  <c r="K7" i="24" s="1"/>
  <c r="L49" i="24"/>
  <c r="L52" i="23"/>
  <c r="L44" i="23"/>
  <c r="K55" i="15"/>
  <c r="K57" i="15"/>
  <c r="K56" i="22"/>
  <c r="K48" i="22"/>
  <c r="K54" i="16"/>
  <c r="K26" i="13"/>
  <c r="O26" i="13" s="1"/>
  <c r="K34" i="13"/>
  <c r="K39" i="13"/>
  <c r="H5" i="13" s="1"/>
  <c r="H6" i="13" s="1"/>
  <c r="L53" i="23"/>
  <c r="L45" i="23"/>
  <c r="K51" i="31"/>
  <c r="H8" i="31" s="1"/>
  <c r="I8" i="31" s="1"/>
  <c r="AA26" i="5" s="1"/>
  <c r="E18" i="20" s="1"/>
  <c r="K43" i="31"/>
  <c r="K62" i="24"/>
  <c r="L50" i="29"/>
  <c r="I7" i="29" s="1"/>
  <c r="J7" i="29" s="1"/>
  <c r="Z25" i="5" s="1"/>
  <c r="L42" i="29"/>
  <c r="J53" i="31"/>
  <c r="K58" i="23"/>
  <c r="K54" i="36"/>
  <c r="K46" i="36"/>
  <c r="K35" i="36"/>
  <c r="K57" i="36"/>
  <c r="K49" i="36"/>
  <c r="K56" i="23"/>
  <c r="K42" i="31"/>
  <c r="K50" i="31"/>
  <c r="H7" i="31" s="1"/>
  <c r="I7" i="31" s="1"/>
  <c r="AA25" i="5" s="1"/>
  <c r="E17" i="20" s="1"/>
  <c r="L53" i="15"/>
  <c r="L55" i="15" s="1"/>
  <c r="L48" i="15"/>
  <c r="L51" i="29"/>
  <c r="I8" i="29" s="1"/>
  <c r="J8" i="29" s="1"/>
  <c r="Z26" i="5" s="1"/>
  <c r="L43" i="29"/>
  <c r="K56" i="16"/>
  <c r="J41" i="13"/>
  <c r="K5" i="16" l="1"/>
  <c r="M48" i="24"/>
  <c r="L6" i="24" s="1"/>
  <c r="K59" i="36"/>
  <c r="P57" i="24"/>
  <c r="P55" i="24"/>
  <c r="P53" i="15"/>
  <c r="I5" i="23"/>
  <c r="J5" i="23" s="1"/>
  <c r="J5" i="15"/>
  <c r="J6" i="15" s="1"/>
  <c r="AA23" i="5"/>
  <c r="E15" i="20" s="1"/>
  <c r="I9" i="31"/>
  <c r="Z23" i="5"/>
  <c r="J9" i="29"/>
  <c r="L57" i="15"/>
  <c r="K54" i="15"/>
  <c r="L56" i="23"/>
  <c r="L49" i="22"/>
  <c r="L57" i="22"/>
  <c r="P57" i="22" s="1"/>
  <c r="D16" i="20"/>
  <c r="H9" i="22"/>
  <c r="L40" i="31"/>
  <c r="J5" i="31" s="1"/>
  <c r="L48" i="31"/>
  <c r="O48" i="31" s="1"/>
  <c r="K52" i="29"/>
  <c r="L55" i="29"/>
  <c r="L55" i="36"/>
  <c r="J6" i="36" s="1"/>
  <c r="K6" i="36" s="1"/>
  <c r="L47" i="36"/>
  <c r="M54" i="23"/>
  <c r="P54" i="23" s="1"/>
  <c r="M46" i="23"/>
  <c r="I5" i="13"/>
  <c r="J52" i="31"/>
  <c r="K55" i="31"/>
  <c r="K59" i="22"/>
  <c r="K61" i="36"/>
  <c r="M53" i="23"/>
  <c r="P53" i="23" s="1"/>
  <c r="M45" i="23"/>
  <c r="M44" i="23"/>
  <c r="M52" i="23"/>
  <c r="P52" i="23" s="1"/>
  <c r="D18" i="20"/>
  <c r="K55" i="23"/>
  <c r="L58" i="23"/>
  <c r="Y23" i="5"/>
  <c r="K9" i="24"/>
  <c r="K8" i="16"/>
  <c r="D23" i="5" s="1"/>
  <c r="K11" i="16"/>
  <c r="T26" i="5" s="1"/>
  <c r="K9" i="16"/>
  <c r="T24" i="5" s="1"/>
  <c r="K10" i="16"/>
  <c r="T25" i="5" s="1"/>
  <c r="K6" i="16"/>
  <c r="L54" i="22"/>
  <c r="J5" i="22" s="1"/>
  <c r="L46" i="22"/>
  <c r="L35" i="22"/>
  <c r="L43" i="31"/>
  <c r="J8" i="31" s="1"/>
  <c r="L51" i="31"/>
  <c r="O51" i="31" s="1"/>
  <c r="L54" i="36"/>
  <c r="J5" i="36" s="1"/>
  <c r="L46" i="36"/>
  <c r="L35" i="36"/>
  <c r="M48" i="15"/>
  <c r="M49" i="24"/>
  <c r="L7" i="24" s="1"/>
  <c r="Y26" i="5"/>
  <c r="K61" i="22"/>
  <c r="K59" i="24"/>
  <c r="L62" i="24"/>
  <c r="K53" i="16"/>
  <c r="L56" i="16"/>
  <c r="M50" i="24"/>
  <c r="L8" i="24" s="1"/>
  <c r="M58" i="24"/>
  <c r="M60" i="24" s="1"/>
  <c r="J40" i="13"/>
  <c r="K43" i="13"/>
  <c r="M51" i="23"/>
  <c r="M43" i="23"/>
  <c r="K41" i="13"/>
  <c r="L41" i="31"/>
  <c r="J6" i="31" s="1"/>
  <c r="L49" i="31"/>
  <c r="O49" i="31" s="1"/>
  <c r="L47" i="22"/>
  <c r="L55" i="22"/>
  <c r="P55" i="22" s="1"/>
  <c r="L60" i="24"/>
  <c r="Y24" i="5"/>
  <c r="L34" i="13"/>
  <c r="L39" i="13"/>
  <c r="L41" i="13" s="1"/>
  <c r="Y25" i="5"/>
  <c r="L50" i="31"/>
  <c r="O50" i="31" s="1"/>
  <c r="L42" i="31"/>
  <c r="J7" i="31" s="1"/>
  <c r="P29" i="29"/>
  <c r="L53" i="29"/>
  <c r="M47" i="24"/>
  <c r="L5" i="24" s="1"/>
  <c r="H9" i="36"/>
  <c r="P39" i="16"/>
  <c r="L54" i="16"/>
  <c r="H9" i="31"/>
  <c r="M43" i="29"/>
  <c r="K8" i="29" s="1"/>
  <c r="M51" i="29"/>
  <c r="P51" i="29" s="1"/>
  <c r="P32" i="23"/>
  <c r="M42" i="29"/>
  <c r="K7" i="29" s="1"/>
  <c r="M50" i="29"/>
  <c r="P50" i="29" s="1"/>
  <c r="L48" i="22"/>
  <c r="L56" i="22"/>
  <c r="J7" i="22" s="1"/>
  <c r="K7" i="22" s="1"/>
  <c r="X25" i="5" s="1"/>
  <c r="M48" i="29"/>
  <c r="M40" i="29"/>
  <c r="K5" i="29" s="1"/>
  <c r="J9" i="24"/>
  <c r="P56" i="24"/>
  <c r="L57" i="36"/>
  <c r="P57" i="36" s="1"/>
  <c r="L49" i="36"/>
  <c r="D17" i="20"/>
  <c r="L48" i="36"/>
  <c r="L56" i="36"/>
  <c r="J7" i="36" s="1"/>
  <c r="K7" i="36" s="1"/>
  <c r="I9" i="29"/>
  <c r="M41" i="29"/>
  <c r="K6" i="29" s="1"/>
  <c r="M49" i="29"/>
  <c r="P49" i="29" s="1"/>
  <c r="K53" i="31"/>
  <c r="M47" i="16"/>
  <c r="L5" i="16" s="1"/>
  <c r="M52" i="16"/>
  <c r="D24" i="5" l="1"/>
  <c r="D25" i="5"/>
  <c r="K7" i="5" s="1"/>
  <c r="T31" i="5" s="1"/>
  <c r="J8" i="22"/>
  <c r="K8" i="22" s="1"/>
  <c r="M49" i="36"/>
  <c r="P55" i="36"/>
  <c r="M47" i="22"/>
  <c r="M46" i="22"/>
  <c r="P56" i="22"/>
  <c r="I6" i="23"/>
  <c r="O39" i="13"/>
  <c r="M48" i="22"/>
  <c r="L7" i="22" s="1"/>
  <c r="M49" i="22"/>
  <c r="L8" i="22" s="1"/>
  <c r="P54" i="22"/>
  <c r="K5" i="15"/>
  <c r="K9" i="15" s="1"/>
  <c r="S24" i="5" s="1"/>
  <c r="M46" i="36"/>
  <c r="M47" i="36"/>
  <c r="L6" i="36" s="1"/>
  <c r="X26" i="5"/>
  <c r="AC24" i="5"/>
  <c r="K5" i="5"/>
  <c r="D5" i="5"/>
  <c r="L52" i="29"/>
  <c r="M55" i="29"/>
  <c r="M52" i="29" s="1"/>
  <c r="M54" i="16"/>
  <c r="P52" i="16"/>
  <c r="P54" i="36"/>
  <c r="M57" i="15"/>
  <c r="M54" i="15" s="1"/>
  <c r="L54" i="15"/>
  <c r="C17" i="20"/>
  <c r="M56" i="23"/>
  <c r="L61" i="22"/>
  <c r="K58" i="22"/>
  <c r="L59" i="22"/>
  <c r="C15" i="20"/>
  <c r="P35" i="22"/>
  <c r="J8" i="36"/>
  <c r="K8" i="36" s="1"/>
  <c r="L53" i="31"/>
  <c r="K5" i="23"/>
  <c r="J10" i="23"/>
  <c r="U25" i="5" s="1"/>
  <c r="J6" i="23"/>
  <c r="J11" i="23"/>
  <c r="U26" i="5" s="1"/>
  <c r="J8" i="23"/>
  <c r="J9" i="23"/>
  <c r="U24" i="5" s="1"/>
  <c r="L59" i="24"/>
  <c r="M62" i="24"/>
  <c r="M59" i="24" s="1"/>
  <c r="K58" i="36"/>
  <c r="L61" i="36"/>
  <c r="K40" i="13"/>
  <c r="L43" i="13"/>
  <c r="L40" i="13" s="1"/>
  <c r="D6" i="5"/>
  <c r="K6" i="5"/>
  <c r="T30" i="5" s="1"/>
  <c r="D26" i="5"/>
  <c r="M58" i="23"/>
  <c r="M55" i="23" s="1"/>
  <c r="L55" i="23"/>
  <c r="K52" i="31"/>
  <c r="L55" i="31"/>
  <c r="L52" i="31" s="1"/>
  <c r="C16" i="20"/>
  <c r="P58" i="24"/>
  <c r="C18" i="20"/>
  <c r="K5" i="22"/>
  <c r="D15" i="20"/>
  <c r="D7" i="5"/>
  <c r="M53" i="29"/>
  <c r="P48" i="29"/>
  <c r="K5" i="36"/>
  <c r="P56" i="36"/>
  <c r="C8" i="20"/>
  <c r="J5" i="13"/>
  <c r="I10" i="13"/>
  <c r="I8" i="13"/>
  <c r="I9" i="13"/>
  <c r="I11" i="13"/>
  <c r="I6" i="13"/>
  <c r="AC25" i="5"/>
  <c r="M48" i="36"/>
  <c r="L7" i="36" s="1"/>
  <c r="B17" i="20"/>
  <c r="P51" i="23"/>
  <c r="C7" i="20"/>
  <c r="J6" i="22"/>
  <c r="K6" i="22" s="1"/>
  <c r="C9" i="20"/>
  <c r="L53" i="16"/>
  <c r="M56" i="16"/>
  <c r="M53" i="16" s="1"/>
  <c r="P35" i="36"/>
  <c r="L59" i="36"/>
  <c r="T23" i="5"/>
  <c r="K12" i="16"/>
  <c r="K6" i="15"/>
  <c r="C36" i="20" l="1"/>
  <c r="C35" i="20"/>
  <c r="C41" i="20" s="1"/>
  <c r="F17" i="20"/>
  <c r="C34" i="20"/>
  <c r="C40" i="20" s="1"/>
  <c r="K10" i="15"/>
  <c r="S25" i="5" s="1"/>
  <c r="B8" i="20" s="1"/>
  <c r="K8" i="15"/>
  <c r="C23" i="5" s="1"/>
  <c r="L5" i="15"/>
  <c r="K11" i="15"/>
  <c r="S26" i="5" s="1"/>
  <c r="B9" i="20" s="1"/>
  <c r="T29" i="5"/>
  <c r="F25" i="5"/>
  <c r="V26" i="5"/>
  <c r="E9" i="20" s="1"/>
  <c r="E36" i="20" s="1"/>
  <c r="B7" i="20"/>
  <c r="F23" i="5"/>
  <c r="V24" i="5"/>
  <c r="E7" i="20" s="1"/>
  <c r="E34" i="20" s="1"/>
  <c r="J9" i="22"/>
  <c r="U23" i="5"/>
  <c r="E23" i="5"/>
  <c r="J12" i="23"/>
  <c r="L58" i="22"/>
  <c r="M61" i="22"/>
  <c r="M58" i="22" s="1"/>
  <c r="D8" i="5"/>
  <c r="K8" i="5"/>
  <c r="T32" i="5" s="1"/>
  <c r="X24" i="5"/>
  <c r="AG15" i="5" s="1"/>
  <c r="L6" i="22"/>
  <c r="L5" i="22"/>
  <c r="K9" i="22"/>
  <c r="C24" i="5"/>
  <c r="E26" i="5"/>
  <c r="E25" i="5"/>
  <c r="B25" i="20"/>
  <c r="F25" i="20" s="1"/>
  <c r="J9" i="36"/>
  <c r="F24" i="5"/>
  <c r="V25" i="5"/>
  <c r="E8" i="20" s="1"/>
  <c r="E35" i="20" s="1"/>
  <c r="C6" i="20"/>
  <c r="C33" i="20" s="1"/>
  <c r="C39" i="20" s="1"/>
  <c r="AC23" i="5"/>
  <c r="K9" i="36"/>
  <c r="L5" i="36"/>
  <c r="AC26" i="5"/>
  <c r="L8" i="36"/>
  <c r="B18" i="20"/>
  <c r="F18" i="20" s="1"/>
  <c r="L58" i="36"/>
  <c r="M61" i="36"/>
  <c r="M58" i="36" s="1"/>
  <c r="E24" i="5"/>
  <c r="V23" i="5"/>
  <c r="E6" i="20" s="1"/>
  <c r="E33" i="20" s="1"/>
  <c r="I12" i="13"/>
  <c r="F26" i="5" s="1"/>
  <c r="B26" i="20"/>
  <c r="F26" i="20" s="1"/>
  <c r="C25" i="5" l="1"/>
  <c r="J7" i="5" s="1"/>
  <c r="C26" i="5"/>
  <c r="S23" i="5"/>
  <c r="AG14" i="5" s="1"/>
  <c r="K12" i="15"/>
  <c r="AG17" i="5"/>
  <c r="AG16" i="5"/>
  <c r="L8" i="5"/>
  <c r="U32" i="5" s="1"/>
  <c r="E8" i="5"/>
  <c r="C5" i="5"/>
  <c r="J5" i="5"/>
  <c r="M6" i="5"/>
  <c r="V30" i="5" s="1"/>
  <c r="F6" i="5"/>
  <c r="C6" i="5"/>
  <c r="J6" i="5"/>
  <c r="S30" i="5" s="1"/>
  <c r="E5" i="5"/>
  <c r="L5" i="5"/>
  <c r="U29" i="5" s="1"/>
  <c r="D6" i="20"/>
  <c r="D33" i="20" s="1"/>
  <c r="B35" i="20"/>
  <c r="B15" i="20"/>
  <c r="F15" i="20" s="1"/>
  <c r="C8" i="5"/>
  <c r="S32" i="5"/>
  <c r="D9" i="20"/>
  <c r="D36" i="20" s="1"/>
  <c r="D7" i="20"/>
  <c r="D34" i="20" s="1"/>
  <c r="B27" i="20"/>
  <c r="F27" i="20" s="1"/>
  <c r="B16" i="20"/>
  <c r="F16" i="20" s="1"/>
  <c r="F5" i="5"/>
  <c r="M5" i="5"/>
  <c r="V29" i="5" s="1"/>
  <c r="E6" i="5"/>
  <c r="L6" i="5"/>
  <c r="U30" i="5" s="1"/>
  <c r="F8" i="5"/>
  <c r="M8" i="5"/>
  <c r="V32" i="5" s="1"/>
  <c r="B24" i="20"/>
  <c r="F24" i="20" s="1"/>
  <c r="L7" i="5"/>
  <c r="U31" i="5" s="1"/>
  <c r="E7" i="5"/>
  <c r="S31" i="5"/>
  <c r="C7" i="5"/>
  <c r="D8" i="20"/>
  <c r="D35" i="20" s="1"/>
  <c r="C42" i="20"/>
  <c r="M7" i="5"/>
  <c r="V31" i="5" s="1"/>
  <c r="F7" i="5"/>
  <c r="B34" i="20" l="1"/>
  <c r="F34" i="20" s="1"/>
  <c r="F7" i="20"/>
  <c r="F8" i="20"/>
  <c r="D42" i="20"/>
  <c r="D40" i="20"/>
  <c r="S29" i="5"/>
  <c r="B36" i="20"/>
  <c r="F36" i="20" s="1"/>
  <c r="F9" i="20"/>
  <c r="B6" i="20"/>
  <c r="F6" i="20" s="1"/>
  <c r="H5" i="5"/>
  <c r="D41" i="20"/>
  <c r="H7" i="5"/>
  <c r="E39" i="20"/>
  <c r="D39" i="20"/>
  <c r="H6" i="5"/>
  <c r="E40" i="20"/>
  <c r="E41" i="20"/>
  <c r="F35" i="20"/>
  <c r="B41" i="20"/>
  <c r="E42" i="20"/>
  <c r="H8" i="5"/>
  <c r="B40" i="20" l="1"/>
  <c r="B42" i="20"/>
  <c r="N5" i="5"/>
  <c r="B33" i="20"/>
  <c r="B39" i="20" s="1"/>
  <c r="N7" i="5"/>
  <c r="G35" i="20"/>
  <c r="G34" i="20"/>
  <c r="G36" i="20"/>
  <c r="N8" i="5"/>
  <c r="N6" i="5"/>
  <c r="F33" i="20" l="1"/>
  <c r="G33" i="20" s="1"/>
</calcChain>
</file>

<file path=xl/sharedStrings.xml><?xml version="1.0" encoding="utf-8"?>
<sst xmlns="http://schemas.openxmlformats.org/spreadsheetml/2006/main" count="1034" uniqueCount="309">
  <si>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</si>
  <si>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</si>
  <si>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</si>
  <si>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</si>
  <si>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</si>
  <si>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</si>
  <si>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</si>
  <si>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</si>
  <si>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</si>
  <si>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</si>
  <si>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</si>
  <si>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</si>
  <si>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</si>
  <si>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</si>
  <si>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</si>
  <si>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</si>
  <si>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</si>
  <si>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</si>
  <si>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</si>
  <si>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</si>
  <si>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</si>
  <si>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</si>
  <si>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</si>
  <si>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</si>
  <si>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</si>
  <si>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</si>
  <si>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</si>
  <si>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</si>
  <si>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</si>
  <si>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</si>
  <si>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</si>
  <si>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</si>
  <si>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</si>
  <si>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</si>
  <si>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</si>
  <si>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</si>
  <si>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</si>
  <si>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</si>
  <si>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</si>
  <si>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</si>
  <si>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</si>
  <si>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</si>
  <si>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</si>
  <si>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</si>
  <si>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</si>
  <si>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</si>
  <si>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</si>
  <si>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</si>
  <si>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</si>
  <si>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</si>
  <si>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</si>
  <si>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</si>
  <si>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</si>
  <si>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</si>
  <si>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</si>
  <si>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</si>
  <si>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</si>
  <si>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</si>
  <si>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</si>
  <si>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</si>
  <si>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</si>
  <si>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</si>
  <si>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</si>
  <si>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</si>
  <si>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</si>
  <si>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</si>
  <si>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</si>
  <si>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</si>
  <si>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</si>
  <si>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</si>
  <si>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</si>
  <si>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</si>
  <si>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</si>
  <si>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</si>
  <si>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</si>
  <si>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</si>
  <si>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</si>
  <si>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</si>
  <si>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</si>
  <si>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</si>
  <si>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</si>
  <si>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</si>
  <si>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</si>
  <si>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</si>
  <si>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</si>
  <si>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</si>
  <si>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</si>
  <si>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</si>
  <si>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</si>
  <si>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</si>
  <si>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</si>
  <si>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</si>
  <si>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</si>
  <si>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</si>
  <si>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</si>
  <si>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</si>
  <si>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</si>
  <si>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</si>
  <si>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</si>
  <si>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</si>
  <si>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</si>
  <si>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</si>
  <si>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</si>
  <si>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</si>
  <si>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</si>
  <si>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</si>
  <si>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</si>
  <si>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</si>
  <si>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</si>
  <si>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</si>
  <si>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</si>
  <si>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</si>
  <si>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</si>
  <si>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</si>
  <si>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</si>
  <si>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</si>
  <si>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</si>
  <si>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</si>
  <si>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</si>
  <si>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</si>
  <si>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</si>
  <si>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</si>
  <si>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</si>
  <si>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</si>
  <si>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</si>
  <si>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</si>
  <si>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</si>
  <si>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</si>
  <si>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</si>
  <si>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</si>
  <si>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</si>
  <si>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</si>
  <si>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</si>
  <si>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</si>
  <si>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</si>
  <si>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</si>
  <si>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</si>
  <si>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</si>
  <si>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</si>
  <si>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</si>
  <si>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</si>
  <si>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</si>
  <si>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</si>
  <si>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</si>
  <si>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</si>
  <si>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</si>
  <si>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</si>
  <si>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</si>
  <si>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</si>
  <si>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</si>
  <si>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</si>
  <si>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</si>
  <si>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</si>
  <si>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</si>
  <si>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</si>
  <si>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</si>
  <si>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</si>
  <si>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</si>
  <si>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</si>
  <si>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</si>
  <si>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</si>
  <si>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</si>
  <si>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</si>
  <si>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</si>
  <si>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</si>
  <si>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</si>
  <si>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</si>
  <si>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</si>
  <si>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</si>
  <si>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1. &amp; 3. Actual monthly Ordered Adjustments - Source: None</t>
  </si>
  <si>
    <t>Cycle 3 Ordered Adjustment (OA) Calculation</t>
  </si>
  <si>
    <t>Cycle 3 Ordered Adjustments Reconciliation (OAR) Calculation</t>
  </si>
  <si>
    <t>2. Forecasted Throughput Disincentive - Source: None, TD reset effective December 2022</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</si>
  <si>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</si>
  <si>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</si>
  <si>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</si>
  <si>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</si>
  <si>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</si>
  <si>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</si>
  <si>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Cycle 3 - Program Year 2 (including EO TD Adjustments through December 2022) (Amortize August 2023-July 2024)</t>
  </si>
  <si>
    <t>Cycle 2 - EO TD Adjustments December 2022 (Amortize August 2023-July 2025)</t>
  </si>
  <si>
    <t>7. Cycle 2 kWh Participation - Source: Metro Cycle 2 Monthly TD Calc 122022 01092023.xlsx</t>
  </si>
  <si>
    <t>8. Cycle 2 kWh Participation - Source: Metro Cycle 2 Monthly TD Calc 122022 01092023.xlsx</t>
  </si>
  <si>
    <t>3. Actual/Forecasted EO Amortization - Source:  EO Cycle 2 tab column G divided by remaining months on EO Cycle 2 tab.</t>
  </si>
  <si>
    <t>3. Actual/Forecasted EO Amortization - Source:  EO Cycle 3 tab column G divided by remaining months on EO Cycle 3 tab.</t>
  </si>
  <si>
    <t>NOA = Net Ordered Adjustment for the upcoming EP plus the succeeding EP (OA + OAR)</t>
  </si>
  <si>
    <t xml:space="preserve">PE = Projected Energy, in kWh to be delivered during the upcoming RP plus the succeeding RP </t>
  </si>
  <si>
    <t>1. Actual monthly program costs allocated to customer classes: Residential, Small General Service, Medium General Service, Large General Service and Large Power Service - Source: None
    Forecasted monthly program costs allocated to customer classes: Residential, Small General Service, Medium General Service, Large General Service and Large Power Service - Source: None</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</si>
  <si>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</si>
  <si>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</si>
  <si>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</si>
  <si>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</si>
  <si>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</si>
  <si>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</si>
  <si>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</si>
  <si>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</si>
  <si>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</si>
  <si>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</si>
  <si>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PCR Cycle 3</t>
  </si>
  <si>
    <t>PTD Cycle 2</t>
  </si>
  <si>
    <t>PTD Cycle 3</t>
  </si>
  <si>
    <t>TDR Cycle 2</t>
  </si>
  <si>
    <t>TDR Cycle 3</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</si>
  <si>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</si>
  <si>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</si>
  <si>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</si>
  <si>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</si>
  <si>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</si>
  <si>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</si>
  <si>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2</t>
  </si>
  <si>
    <t>OA Cycle 3</t>
  </si>
  <si>
    <t>OAR Cycle 2</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</si>
  <si>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</si>
  <si>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</si>
  <si>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1. Ordered Adjustment - Source: None</t>
  </si>
  <si>
    <t>2. Carrying Costs on OA - Source: None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</si>
  <si>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</si>
  <si>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</si>
  <si>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</si>
  <si>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</si>
  <si>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</si>
  <si>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1. Ordered Adjustment - Program Costs - Source: None</t>
  </si>
  <si>
    <t>2. Ordered Adjustment - Throughput Disincentive - Source: None</t>
  </si>
  <si>
    <t>3. Carrying Costs on OA - Source: None</t>
  </si>
  <si>
    <t>1. Forecasted kWh savings by customer classes: Residential, Small General Service, Medium General Service, Large General Service and Large Power Service - Source: None, TD reset effective December 2022</t>
  </si>
  <si>
    <t>3. Actual kWh Sales Impact - Source:  None, TD reset effective December 2022
    Forecasted kWh Sales Impact - Source: None</t>
  </si>
  <si>
    <t>1. &amp; 4. Actual monthly TD - Source: None, TD reset effective December 2022
    Forecasted monthly TD - Source: None, TD reset effective December 2022</t>
  </si>
  <si>
    <t>2. EO TD Ex Post Gross Adjustment -  Source: TD Model Metro PY1-3 122022.xlsx, TD Model PY4 122022.xlsx. These are final amounts as reported in 6/1/2023 filing.</t>
  </si>
  <si>
    <t>3. EO TD NTG Adjustment -  Source: TD Model Metro PY1-3 122022.xlsx, TD Model PY4 122022.xlsx. Theses are final amounts as reported in 6/1/2023 filing.</t>
  </si>
  <si>
    <t>4. Carrying Costs @ AFUDC Rate -  Source: TD Model Metro PY1-3 122022.xlsx, TD Model PY4 122022.xlsx. These are final amounts as reported in 6/1/2023 filing.</t>
  </si>
  <si>
    <t>Cycle 3 - Program Year 1 EO TD Adjustments December 2022 - April 2023 (Amortize February 2024 - January 2025)</t>
  </si>
  <si>
    <t>Cycle 3 - Program Year 3 (including EO TD Adjustments through October 2023) (Amortize February 2024 -January 2025)</t>
  </si>
  <si>
    <t>2. EO TD Ex Post Gross Adjustment -  Source: Metro Cycle 3 PY1 EO TD Adj Calc.xlsx, Metro Cycle 3 PY2 EO TD Adj Calc.xlsx, Metro Cycle 3 PY3 EO TD Adj Calc.xlsx</t>
  </si>
  <si>
    <t>3. EO TD NTG Adjustment -  Source: Metro Cycle 3 PY1 EO TD Adj Calc.xlsx, Metro Cycle 3 PY2 EO TD Adj Calc.xlsx, Metro Cycle 3 PY3 EO TD Adj Calc.xlsx</t>
  </si>
  <si>
    <t>4. Carrying Costs @ AFUDC Rate -  Source: Metro Cycle 3 PY1 EO TD Adj Calc.xlsx, Metro Cycle 3 PY2 EO TD Adj Calc.xlsx, Metro Cycle 3 PY3 EO TD Adj Calc.xlsx</t>
  </si>
  <si>
    <t>2. Actual monthly billed revenues by customer classes: Residential, Small General Service, Medium General Service, Large General Service and Large Power Service (EO revenues only) - Metro MEEIA 2023 Revenue Analysis.xlsx
Forecasted monthly billed revenues by customer classes: Residential, Small General Service, Medium General Service, Large General Service and Large Power Service (EO revenues only) - Source: calculated = Forecasted billed kWh sales X tariff rate</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</si>
  <si>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</si>
  <si>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For next rider filing, reversal of Forecast to input in column C</t>
  </si>
  <si>
    <t>Projections for Cycle 3 July 2024 - June 2025 DSIM</t>
  </si>
  <si>
    <t>Cumulative Over/Under Carryover From 12/01/2023 Filing</t>
  </si>
  <si>
    <t>3. Cycle 3 Extension - July 2024 - June 2025</t>
  </si>
  <si>
    <t>Reverse November 2023 - January 2024 Forecast From 12/01/2023 Filing</t>
  </si>
  <si>
    <t>6. Amortization Over 24 Month Recovery Period - Source: Column 5  PY 1 - 3 divided by 24 times 0 months remaining recovery, PY 4 Column 5 divided by 24 times 0, EO TD Adjustments January - November 2022 Column 5 divided by 24 times 0, EO TD Adjustments Carrying Costs May - October 2022 Column 5 divided by 24 times 0, EO TD Adjustments Carrying Costs November 2021 - April 2022 Column 5 divided by 24 times 1, EO TD Adjustments Carrying Costs May 2022 - November 2022 Column 5 divided by 24 times 7;  EO TD Adjustments December 2022 Column 5 divided by 24 times 12</t>
  </si>
  <si>
    <t>PPC-cycle 4</t>
  </si>
  <si>
    <t>PTD-cycle 4</t>
  </si>
  <si>
    <t>EO-cycle 4</t>
  </si>
  <si>
    <t>OA-cycle 4</t>
  </si>
  <si>
    <t>Cycle 4</t>
  </si>
  <si>
    <t>PCR-cycle 4</t>
  </si>
  <si>
    <t>TDR-cycle 4</t>
  </si>
  <si>
    <t>EOR-cycle 4</t>
  </si>
  <si>
    <t>OAR-cycle 4</t>
  </si>
  <si>
    <t>PCR Cycle 4</t>
  </si>
  <si>
    <t>Program Cost Reconciliation for Cycle 4 planning costs through December 2023 compares the DSIM revenues billed for the Cycle 4 cost components to actual planning costs incurred plus the carryforward of under or over recovered Cycle 4 planning costs.</t>
  </si>
  <si>
    <t>Calculation of DSIM Rates by Customer Class Effective August 1, 2024 through July 31, 2025</t>
  </si>
  <si>
    <t>The Company updates a forecast of program costs and throughput disincentive, among other items, based on actual reported results through April 2024 and forecasted results through the remainder of Cycle 3. Program costs by customer class are summarized from that forecast. Projected billed kWh sales by customer class (net of opt outs) are extracted from the Company budget.</t>
  </si>
  <si>
    <t>Program Cost Reconciliation for Cycle 2 for the period November 2023 through April 2024 compares the DSIM revenues billed for the Cycle 2 cost components to the carryforward of under or over recovered Cycle 2 Program Costs.</t>
  </si>
  <si>
    <t>Program Cost Reconciliation for Cycle 3 for the period November 2023 through April 2024 compares the DSIM revenues billed for the Cycle 3 cost components to actual program costs incurred plus the carryforward of under or over recovered Cycle 3 Program Costs.</t>
  </si>
  <si>
    <t>Throughput Disincentive Reconciliation for Cycle 3 for the period November 2023 through April 2024 compares the DSIM revenues billed for the Cycle 3 cost components to calculated Throughput Disincentive for Cycle 3 and the carryforward of under or over recovered Cycle 3 Throughput Disincentive.</t>
  </si>
  <si>
    <t>Earnings Opportunity Reconciliation for Cycle 2 for the period November 2023 through April 2024 compares the DSIM revenues billed for the Cycle 2 cost components to amortization of EO Cycle 2 above and the carryforward of under or over recovered Cycle 2 Earnings Opportunity.</t>
  </si>
  <si>
    <t>Earnings Opportunity Reconciliation for Cycle 3 for the period November 2023 through April 2024 compares the DSIM revenues billed for the Cycle 2 cost components to amortization of EO Cycle 3 above and the carryforward of under or over recovered Cycle 3 Earnings Opportunity.</t>
  </si>
  <si>
    <t>Ordered Adjustments Reconciliation for Cycle 2 for the period November 2023 through April 2024 compares the DSIM revenues billed for the Cycle 2 cost components to the carryforward of under or over recovered Cycle 2 Ordered Adjustments.</t>
  </si>
  <si>
    <t>Ordered Adjustments Reconciliation for Cycle 3 for the period November 2023 through April 2024 compares the DSIM revenues billed for the Cycle 3 cost components to the carryforward of under or over recovered Cycle 3 Ordered Adjustments.</t>
  </si>
  <si>
    <t>Projected Throughput Disincentive for Cycle 2 for the period July 2024 through June 2025.</t>
  </si>
  <si>
    <t>Projected Throughput Disincentive for Cycle 3 for the period July 2024 through June 2025</t>
  </si>
  <si>
    <t>Earnings Opportunity Cycle 2, including EO TD Ex Post Gross and Net to Gross Adjustments (EO TD Adjustments) for the period July 2024 through June 2025</t>
  </si>
  <si>
    <t xml:space="preserve">Earnings Opportunity Cycle 3, including EO TD Ex Post Gross and Net to Gross Adjustments (EO TD Adjustments) for the period July 2024 through June 2025 </t>
  </si>
  <si>
    <t>Ordered Adjustments for Cycle 2 for the period July 2024 through June 2025</t>
  </si>
  <si>
    <t>None - There were no additional Ordered Adjustments for Cycle 2 for the period July 2024 through June 2025</t>
  </si>
  <si>
    <t>Ordered Adjustments for Cycle 3 for the period July 2024 through June 2025</t>
  </si>
  <si>
    <t>None - There were no additional Ordered Adjustments for Cycle 3 for the period July 2024 through June 2025</t>
  </si>
  <si>
    <t xml:space="preserve">The Company updates a forecast of program costs and throughput disincentive, among other items, based on actual reported results through April 2024 and forecasted results through the remainder of Cycle 3. Throughput Disincentive by customer class is summarized from that forecast. </t>
  </si>
  <si>
    <t>Projected Throughput Disincentive for Cycle 2 for the period July 2024 through June 2025 are zero due to the rebasing of cumulative kWh savings in the most recent rates effective January 2023.</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</si>
  <si>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April 2024 plus continued amortization of previously reported amounts from prior updates as appropriate.</t>
  </si>
  <si>
    <t>5. Cycle 3 Forecast- July 2024 - June 2025</t>
  </si>
  <si>
    <t>3. Actual monthly billed revenues by customer classes: Residential, Small General Service, Medium General Service, Large General Service and Large Power Service (program cost revenues only) - Source: none
    Forecasted monthly billed revenues by customer classes: Residential, Small General Service, Medium General Service, Large General Service and Large Power Service (program cost revenues only) - Source: calculated = Forecasted billed kWh sales X tariff rate</t>
  </si>
  <si>
    <t>Cycle 3 - Program Year 3 EO TD Adjustments November 2023 through April 2024 (Amortize August 2024 - July 2025)</t>
  </si>
  <si>
    <t>1. Total Earnings Opportunity - Source: Metro EO Calculated Cycle 3 PY1.xlsx, Metro EO Calculated Cycle 3 PY2.xlsx, Metro EO Calculated Cycle 3 PY3.xlsx, Metro EO Calculated Cycle 3 PY4.xlsx</t>
  </si>
  <si>
    <t>Cycle 3 - Program Year 4 (Amortize August 2024 -July 2025)</t>
  </si>
  <si>
    <t>Cycle 4 Program Costs Reconciliation (PCR) Calculation</t>
  </si>
  <si>
    <t>Evergy Metro, Inc. - DSIM Rider Update Filed 06/01/2024</t>
  </si>
  <si>
    <t>6. Amortization Over 12 Month Recovery Period - Source: Column 5  Program Year 1 EO TD Adjustments May 2022 - November 2022 divided by 12 times 1 months in forecast period; Program Year 1 EO TD Adjustments December 2022 - April 2023 divided by 12 times 11 months in forecast period; Program Year 2 including EO TD Adjustments through December 2022 divided by 12 times 7 months in forecast period; Program Year 3 including EO TD Adjustments through October 2023 divided by 12 times 11 months in forecast period; Program Year 3 EO TD Adjustments November 2023 through April 2024 divided by 12 times 11 months in forecast period; Program Year 4 through April 2024 divided by 12 times 11 months in forecast period</t>
  </si>
  <si>
    <t>1. Forecasted kWh by  Residential, Small General Service, Medium General Service, Large General Service and Large Power Service (Reduced for Opt-Out) - Source: Billed kWh Budget Metro 2023 and later.xlsx</t>
  </si>
  <si>
    <t>2. Actual monthly kWh billed sales by customer classes: Residential, Small General Service, Medium General Service, Large General Service and Large Power Service (reduced for opt-out) - Source: Metro MEEIA 2024 Revenue Analysis.xlsx
    Forecasted monthly kWh billed sales by customer classes: Residential, Small General Service, Medium General Service, Large General Service and Large Power Service (reduced for opt-out) - Source: Billed kWh Budget Metro 2023 and later.xlsx</t>
  </si>
  <si>
    <t>5. Monthly Short-Term Borrowing Rate - Source: Metro ST Borrowing Rates Nov23-Apr24.xlsx</t>
  </si>
  <si>
    <t>1. Actual monthly program costs allocated to customer classes: Residential, Small General Service, Medium General Service, Large General Service and Large Power Service - Source: 11 2023 Metro Spend Allocations Worksheet FINAL.xlsx, 12 2023 Metro Spend Allocations Worksheet FINAL.xlsx, 01 2024 Metro Spend Allocations Worksheet FINAL.xlsx, 02 2024 Metro Spend Allocations Worksheet FINAL.xlsx, 03 2024 Metro Spend Allocations Worksheet FINAL.xlsx, 04 2024 Metro Spend Allocations Worksheet FINAL.xlsx
    Forecasted monthly program costsallocated to customer classes: Residential, Small General Service, Medium General Service, Large General Service and Large Power Service - Source: Metro Program Costs by Customer Class 2024 Ext 072024-062025.xlsx</t>
  </si>
  <si>
    <t>3. Actual monthly billed revenues by customer classes: Residential, Small General Service, Medium General Service, Large General Service and Large Power Service (program cost revenues only) - Source: Metro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</si>
  <si>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1. Actual monthly program costs allocated to customer classes: Residential, Small General Service, Medium General Service, Large General Service and Large Power Service - Source: MEEIA Cycle 4 Planning Costs thru 12 2023 Spend Allocations Worksheet.xlsx</t>
  </si>
  <si>
    <t>2. Forecasted monthly kWh billed sales by customer classes: Residential, Small General Service, Medium General Service, Large General Service and Large Power Service (reduced for opt-out) - Source: Billed kWh Budget Metro 2023 and later.xlsx</t>
  </si>
  <si>
    <t>6. Monthly Short-Term Borrowing Rate - Source: Metro ST Borrowing Rates Nov23-Apr24.xlsx</t>
  </si>
  <si>
    <t>2. Actual monthly billed revenues by customer classes: Residential, Small General Service, Medium General Service, Large General Service and Large Power Service (TD revenues only) - Source: Metro MEEIA 2024 Revenue Analysis.xlsx
Forecasted monthly billed revenues by customer classes: Residential, Small General Service, Medium General Service, Large General Service and Large Power Service (TD revenues only) - Source: calculated = Forecasted billed kWh sales X tariff rate</t>
  </si>
  <si>
    <t>3. Actual monthly billed revenues by customer classes: Residential, Small General Service, Medium General Service, Large General Service and Large Power Service (program cost revenues only)  - Source: Metro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</si>
  <si>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1. Forecasted kWh savings by customer classes: Residential, Small General Service, Medium General Service, Large General Service and Large Power Service - Source: Metro Cycle 3 Monthly TD Calc 042024 05172024- for forecast.xlsx</t>
  </si>
  <si>
    <t>3. Forecasted Throughput Disincentive - Source: Metro Cycle 3 Monthly TD Calc 042024 05172024- for forecast.xlsx</t>
  </si>
  <si>
    <t>4. Forecasted Throughput Disincentive - Source: Metro Cycle 3 Monthly TD Calc 042024 05172024- for forecast.xlsx</t>
  </si>
  <si>
    <t>5. Forecasted Throughput Disincentive - Source: Metro Cycle 3 Monthly TD Calc 042024 05172024- for forecast.xlsx</t>
  </si>
  <si>
    <t>2. Actual monthly billed revenues by customer classes: Residential, Small General Service, Medium General Service, Large General Service and Large Power Service (TD revenues only)  - Source: Metro MEEIA 2024 Revenue Analysis.xlsx
Forecasted monthly billed revenues by customer classes: Residential, Small General Service, Medium General Service, Large General Service and Large Power Service (TD revenues only) - Source: calculated = Forecasted billed kWh sales X tariff rate</t>
  </si>
  <si>
    <t>1. &amp; 4. Actual monthly TD - Source: Metro Cycle 3 Monthly TD Calc 042024 05172024- for forecast.xlsx
    Forecasted monthly TD  - Source: Metro Cycle 3 Monthly TD Calc 042024 05172024- for forecast.xlsx</t>
  </si>
  <si>
    <t>2. Actual monthly billed revenues by customer classes: Residential, Small General Service, Medium General Service, Large General Service and Large Power Service (EO revenues only)  - Source: Metro MEEIA 2024 Revenue Analysis.xlsx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</si>
  <si>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Source: Metro MEEIA 2024 Revenue Analysis.xlsx
Forecasted monthly billed revenues by customer classes: Residential, Small General Service, Medium General Service, Large General Service and Large Power Service (OA revenues only) - Source: calculated = Forecasted billed kWh sales X tariff rate</t>
  </si>
  <si>
    <t>3 &amp; 4. Actual kWh Sales Impact and TD - Source: Metro Cycle 3 Monthly TD Calc 042024 05172024- for forecast.xlsx
    Forecasted kWh Sales Impact and TD - Source: Metro Cycle 3 Monthly TD Calc 042024 05172024- for forecast.xlsx</t>
  </si>
  <si>
    <t>3. Forecasted program costs by customer class - Source: Metro Program Costs by Customer Class 072024-062025.xlsx</t>
  </si>
  <si>
    <t>3. Cycle 3 PY5 Extension- July 2024 - June 2025</t>
  </si>
  <si>
    <t>4. Total monthly interest - Source: calculated</t>
  </si>
  <si>
    <t>5. Total monthly interest - Source: calculated</t>
  </si>
  <si>
    <t>2. Forecasted Throughput Disincentive -Sum of 3., 4., and 5.</t>
  </si>
  <si>
    <t>5. Monthly Short-Term Borrowing Rate - Source: none</t>
  </si>
  <si>
    <t>Projected Program Costs for Cycle 3 for the period July 2024 through June 2025 and projected billed kWh sales for the period August 2024 through July 2025</t>
  </si>
  <si>
    <t xml:space="preserve">2. Forecasted program costs by customer class - Source: Sum of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</si>
</sst>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mmm\-yyyy"/>
    <numFmt numFmtId="179" formatCode="_(&quot;$&quot;* #,##0.00_);_(&quot;$&quot;* \(#,##0.00\);_(&quot;$&quot;* &quot;-&quot;_);_(@_)"/>
  </numFmts>
  <fonts count="4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
      <sz val="11"/>
      <color rgb="FF0000CC"/>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92D050"/>
        <bgColor indexed="64"/>
      </patternFill>
    </fill>
  </fills>
  <borders count="7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63">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14" fillId="7" borderId="13" xfId="13" applyNumberFormat="1" applyBorder="1"/>
    <xf numFmtId="43" fontId="14" fillId="7" borderId="1" xfId="1" applyFont="1" applyFill="1" applyBorder="1"/>
    <xf numFmtId="44" fontId="8" fillId="0" borderId="0" xfId="0" applyNumberFormat="1" applyFont="1" applyFill="1" applyAlignment="1">
      <alignment wrapText="1"/>
    </xf>
    <xf numFmtId="167" fontId="33" fillId="0" borderId="33" xfId="1" applyNumberFormat="1" applyFont="1" applyFill="1" applyBorder="1"/>
    <xf numFmtId="44" fontId="33" fillId="0" borderId="33" xfId="7" applyNumberFormat="1" applyFont="1" applyFill="1" applyBorder="1"/>
    <xf numFmtId="0" fontId="8" fillId="0" borderId="0" xfId="0" applyFont="1" applyFill="1" applyAlignment="1">
      <alignment horizontal="left"/>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165" fontId="5" fillId="5" borderId="58" xfId="6" applyNumberFormat="1" applyBorder="1"/>
    <xf numFmtId="165" fontId="5" fillId="5" borderId="70" xfId="6" applyNumberFormat="1" applyBorder="1"/>
    <xf numFmtId="165" fontId="5" fillId="5" borderId="75" xfId="6" applyNumberFormat="1" applyBorder="1"/>
    <xf numFmtId="165" fontId="4" fillId="4" borderId="76" xfId="11" applyNumberFormat="1" applyFont="1" applyFill="1" applyBorder="1"/>
    <xf numFmtId="177" fontId="0" fillId="0" borderId="0" xfId="0" applyNumberFormat="1"/>
    <xf numFmtId="178" fontId="0" fillId="0" borderId="0" xfId="0" applyNumberFormat="1"/>
    <xf numFmtId="41" fontId="0" fillId="0" borderId="0" xfId="0" applyNumberFormat="1"/>
    <xf numFmtId="0" fontId="0" fillId="0" borderId="0" xfId="0" applyBorder="1" applyAlignment="1">
      <alignment vertical="top" wrapText="1"/>
    </xf>
    <xf numFmtId="165" fontId="42" fillId="7" borderId="13" xfId="13" applyNumberFormat="1" applyFont="1" applyBorder="1"/>
    <xf numFmtId="165" fontId="42" fillId="7" borderId="42" xfId="13" applyNumberFormat="1" applyFont="1" applyBorder="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73" xfId="13" applyNumberFormat="1" applyFont="1" applyBorder="1"/>
    <xf numFmtId="165" fontId="42" fillId="0" borderId="58" xfId="13" applyNumberFormat="1" applyFont="1" applyFill="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41" fontId="43" fillId="0" borderId="6" xfId="0" applyNumberFormat="1" applyFont="1" applyBorder="1" applyAlignment="1">
      <alignment vertical="center"/>
    </xf>
    <xf numFmtId="172" fontId="43" fillId="0" borderId="6" xfId="0" applyNumberFormat="1" applyFont="1" applyBorder="1" applyAlignment="1">
      <alignment horizontal="right"/>
    </xf>
    <xf numFmtId="172" fontId="43" fillId="0" borderId="6" xfId="0" applyNumberFormat="1" applyFont="1" applyFill="1" applyBorder="1" applyAlignment="1">
      <alignment horizontal="right"/>
    </xf>
    <xf numFmtId="172" fontId="43" fillId="0" borderId="6" xfId="0" quotePrefix="1" applyNumberFormat="1" applyFont="1" applyFill="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164" fontId="44" fillId="0" borderId="12" xfId="0" applyNumberFormat="1" applyFont="1" applyBorder="1"/>
    <xf numFmtId="0" fontId="8" fillId="0" borderId="0" xfId="0" applyFont="1" applyAlignment="1">
      <alignment horizontal="left" vertical="center" wrapText="1"/>
    </xf>
    <xf numFmtId="170" fontId="43" fillId="0" borderId="3" xfId="0" applyNumberFormat="1" applyFont="1" applyFill="1" applyBorder="1" applyAlignment="1">
      <alignment vertical="center"/>
    </xf>
    <xf numFmtId="165" fontId="0" fillId="0" borderId="0" xfId="0" quotePrefix="1" applyNumberFormat="1" applyFill="1" applyBorder="1"/>
    <xf numFmtId="179" fontId="14" fillId="7" borderId="70" xfId="13" applyNumberFormat="1" applyBorder="1"/>
    <xf numFmtId="179" fontId="0" fillId="0" borderId="0" xfId="0" applyNumberFormat="1"/>
    <xf numFmtId="179" fontId="13" fillId="7" borderId="17" xfId="12" applyNumberFormat="1"/>
    <xf numFmtId="179" fontId="13" fillId="7" borderId="71" xfId="12" applyNumberFormat="1" applyBorder="1"/>
    <xf numFmtId="0" fontId="8" fillId="0" borderId="0" xfId="0" applyFont="1" applyFill="1" applyAlignment="1">
      <alignment horizontal="left" wrapText="1"/>
    </xf>
    <xf numFmtId="0" fontId="8" fillId="0" borderId="0" xfId="0" applyFont="1" applyFill="1" applyAlignment="1">
      <alignment horizontal="left" vertical="center" wrapText="1"/>
    </xf>
    <xf numFmtId="171" fontId="44" fillId="0" borderId="0" xfId="2" applyNumberFormat="1" applyFont="1" applyBorder="1"/>
    <xf numFmtId="171" fontId="44" fillId="0" borderId="9" xfId="2" applyNumberFormat="1" applyFont="1" applyBorder="1"/>
    <xf numFmtId="171" fontId="44" fillId="0" borderId="10" xfId="0" applyNumberFormat="1" applyFont="1" applyBorder="1"/>
    <xf numFmtId="44" fontId="0" fillId="0" borderId="0" xfId="0" applyNumberFormat="1" applyFill="1"/>
    <xf numFmtId="0" fontId="8" fillId="0" borderId="70" xfId="0" applyFont="1" applyFill="1" applyBorder="1" applyAlignment="1">
      <alignment horizontal="center" wrapText="1"/>
    </xf>
    <xf numFmtId="0" fontId="9" fillId="0" borderId="0" xfId="0" applyFont="1" applyFill="1" applyAlignment="1">
      <alignment horizontal="left"/>
    </xf>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0" fontId="0" fillId="0" borderId="70" xfId="0" applyFill="1" applyBorder="1" applyAlignment="1">
      <alignment vertical="top" wrapText="1"/>
    </xf>
    <xf numFmtId="3" fontId="0" fillId="0" borderId="0" xfId="0" applyNumberFormat="1"/>
    <xf numFmtId="4" fontId="0" fillId="0" borderId="0" xfId="0" applyNumberFormat="1"/>
    <xf numFmtId="0" fontId="8" fillId="0" borderId="0" xfId="0" quotePrefix="1" applyFont="1" applyFill="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40" borderId="0" xfId="0" applyFont="1" applyFill="1" applyAlignment="1">
      <alignment horizontal="left" vertical="center" wrapText="1"/>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0" fillId="0" borderId="0" xfId="0" applyFill="1" applyAlignment="1">
      <alignment horizontal="left" vertical="center" wrapText="1"/>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008000"/>
      <color rgb="FF006600"/>
      <color rgb="FFFF00FF"/>
      <color rgb="FF0000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customXml" Target="../customXml/item3.xml"/><Relationship Id="rId20" Type="http://schemas.openxmlformats.org/officeDocument/2006/relationships/externalLink" Target="externalLinks/externalLink1.xml"/><Relationship Id="rId4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Billed%20kWh%20Budget%20Metro%202023%20and%20later.xlsx" TargetMode="External"/><Relationship Id="rId1" Type="http://schemas.openxmlformats.org/officeDocument/2006/relationships/externalLinkPath" Target="https://caseworks.evergy.com/376/DataRequests/29417/Library/Red%20Lines/Billed%20kWh%20Budget%20Metro%202023%20and%20later.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03%202024%20Metro%20Spend%20Allocations%20Worksheet%20FINAL.xlsx" TargetMode="External"/><Relationship Id="rId1" Type="http://schemas.openxmlformats.org/officeDocument/2006/relationships/externalLinkPath" Target="https://caseworks.evergy.com/376/DataRequests/29417/Library/Red%20Lines/03%202024%20Metro%20Spend%20Allocations%20Worksheet%20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04%202024%20Metro%20Spend%20Allocations%20Worksheet%20FINAL.xlsx" TargetMode="External"/><Relationship Id="rId1" Type="http://schemas.openxmlformats.org/officeDocument/2006/relationships/externalLinkPath" Target="https://caseworks.evergy.com/376/DataRequests/29417/Library/Red%20Lines/04%202024%20Metro%20Spend%20Allocations%20Worksheet%20FINAL.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EIA%20Cycle%204%20Planning%20Costs%20thru%2012%202023%20Spend%20Allocations%20Worksheet.xlsx" TargetMode="External"/><Relationship Id="rId1" Type="http://schemas.openxmlformats.org/officeDocument/2006/relationships/externalLinkPath" Target="https://caseworks.evergy.com/376/DataRequests/29417/Library/Red%20Lines/MEEIA%20Cycle%204%20Planning%20Costs%20thru%2012%202023%20Spend%20Allocations%20Worksheet.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Cycle%203%20Monthly%20TD%20Calc%20042024%2005172024-%20for%20forecast.xlsx" TargetMode="External"/><Relationship Id="rId1" Type="http://schemas.openxmlformats.org/officeDocument/2006/relationships/externalLinkPath" Target="https://caseworks.evergy.com/376/DataRequests/29417/Library/Red%20Lines/Metro%20Cycle%203%20Monthly%20TD%20Calc%20042024%2005172024-%20for%20forecast.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EO%20Calculated%20Cycle%203%20PY1.xlsx" TargetMode="External"/><Relationship Id="rId1" Type="http://schemas.openxmlformats.org/officeDocument/2006/relationships/externalLinkPath" Target="https://caseworks.evergy.com/376/DataRequests/29417/Library/Red%20Lines/Metro%20EO%20Calculated%20Cycle%203%20PY1.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Cycle%203%20PY1%20EO%20TD%20Adj%20Calc.xlsx" TargetMode="External"/><Relationship Id="rId1" Type="http://schemas.openxmlformats.org/officeDocument/2006/relationships/externalLinkPath" Target="https://caseworks.evergy.com/376/DataRequests/29417/Library/Red%20Lines/Metro%20Cycle%203%20PY1%20EO%20TD%20Adj%20Calc.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EO%20Calculated%20Cycle%203%20PY2.xlsx" TargetMode="External"/><Relationship Id="rId1" Type="http://schemas.openxmlformats.org/officeDocument/2006/relationships/externalLinkPath" Target="https://caseworks.evergy.com/376/DataRequests/29417/Library/Red%20Lines/Metro%20EO%20Calculated%20Cycle%203%20PY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Cycle%203%20PY2%20EO%20TD%20Adj%20Calc.xlsx" TargetMode="External"/><Relationship Id="rId1" Type="http://schemas.openxmlformats.org/officeDocument/2006/relationships/externalLinkPath" Target="https://caseworks.evergy.com/376/DataRequests/29417/Library/Red%20Lines/Metro%20Cycle%203%20PY2%20EO%20TD%20Adj%20Calc.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EO%20Calculated%20Cycle%203%20PY3.xlsx" TargetMode="External"/><Relationship Id="rId1" Type="http://schemas.openxmlformats.org/officeDocument/2006/relationships/externalLinkPath" Target="https://caseworks.evergy.com/376/DataRequests/29417/Library/Red%20Lines/Metro%20EO%20Calculated%20Cycle%203%20PY3.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Cycle%203%20PY3%20EO%20TD%20Adj%20Calc.xlsx" TargetMode="External"/><Relationship Id="rId1" Type="http://schemas.openxmlformats.org/officeDocument/2006/relationships/externalLinkPath" Target="https://caseworks.evergy.com/376/DataRequests/29417/Library/Red%20Lines/Metro%20Cycle%203%20PY3%20EO%20TD%20Adj%20Cal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Program%20Costs%20by%20Customer%20Class%202024%20Ext%20072024-062025.xlsx" TargetMode="External"/><Relationship Id="rId1" Type="http://schemas.openxmlformats.org/officeDocument/2006/relationships/externalLinkPath" Target="https://caseworks.evergy.com/376/DataRequests/29417/Library/Red%20Lines/Metro%20Program%20Costs%20by%20Customer%20Class%202024%20Ext%20072024-0620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EO%20Calculated%20Cycle%203%20PY4.xlsx" TargetMode="External"/><Relationship Id="rId1" Type="http://schemas.openxmlformats.org/officeDocument/2006/relationships/externalLinkPath" Target="https://caseworks.evergy.com/376/DataRequests/29417/Library/Red%20Lines/Metro%20EO%20Calculated%20Cycle%203%20PY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Cycle%202%20Monthly%20TD%20Calc%20%20122022%2001092023.xlsx" TargetMode="External"/><Relationship Id="rId1" Type="http://schemas.openxmlformats.org/officeDocument/2006/relationships/externalLinkPath" Target="https://caseworks.evergy.com/376/DataRequests/29417/Library/Red%20Lines/Metro%20Cycle%202%20Monthly%20TD%20Calc%20%20122022%200109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MEEIA%202024%20Revenue%20Analysis.xlsx" TargetMode="External"/><Relationship Id="rId1" Type="http://schemas.openxmlformats.org/officeDocument/2006/relationships/externalLinkPath" Target="https://caseworks.evergy.com/376/DataRequests/29417/Library/Red%20Lines/Metro%20MEEIA%202024%20Revenue%20Analysi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tro%20ST%20Borrowing%20Rates%20Nov23-Apr24.xlsx" TargetMode="External"/><Relationship Id="rId1" Type="http://schemas.openxmlformats.org/officeDocument/2006/relationships/externalLinkPath" Target="https://caseworks.evergy.com/376/DataRequests/29417/Library/Red%20Lines/Metro%20ST%20Borrowing%20Rates%20Nov23-Apr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11%202023%20Metro%20Spend%20Allocations%20Worksheet%20final.xlsx" TargetMode="External"/><Relationship Id="rId1" Type="http://schemas.openxmlformats.org/officeDocument/2006/relationships/externalLinkPath" Target="https://caseworks.evergy.com/376/DataRequests/29417/Library/Red%20Lines/11%202023%20Metro%20Spend%20Allocations%20Worksheet%20final.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12%202023%20Metro%20Spend%20Allocations%20Worksheet%20Final.xlsx" TargetMode="External"/><Relationship Id="rId1" Type="http://schemas.openxmlformats.org/officeDocument/2006/relationships/externalLinkPath" Target="https://caseworks.evergy.com/376/DataRequests/29417/Library/Red%20Lines/12%202023%20Metro%20Spend%20Allocations%20Worksheet%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01%202024%20Metro%20Spend%20Allocations%20Worksheet%20FINAL.xlsx" TargetMode="External"/><Relationship Id="rId1" Type="http://schemas.openxmlformats.org/officeDocument/2006/relationships/externalLinkPath" Target="https://caseworks.evergy.com/376/DataRequests/29417/Library/Red%20Lines/01%202024%20Metro%20Spend%20Allocations%20Worksheet%20FINA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02%202024%20Metro%20Spend%20Allocations%20Worksheet%20FINAL.xlsx" TargetMode="External"/><Relationship Id="rId1" Type="http://schemas.openxmlformats.org/officeDocument/2006/relationships/externalLinkPath" Target="https://caseworks.evergy.com/376/DataRequests/29417/Library/Red%20Lines/02%202024%20Metro%20Spend%20Allocations%20Workshe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CPL Billed kWh Sales"/>
    </sheetNames>
    <sheetDataSet>
      <sheetData sheetId="0">
        <row r="25">
          <cell r="R25">
            <v>157146285</v>
          </cell>
          <cell r="S25">
            <v>202628383</v>
          </cell>
          <cell r="T25">
            <v>297583683</v>
          </cell>
        </row>
        <row r="26">
          <cell r="R26">
            <v>48764650</v>
          </cell>
          <cell r="S26">
            <v>53736307</v>
          </cell>
          <cell r="T26">
            <v>60286284</v>
          </cell>
        </row>
        <row r="27">
          <cell r="R27">
            <v>85744765</v>
          </cell>
          <cell r="S27">
            <v>94486622</v>
          </cell>
          <cell r="T27">
            <v>106003698</v>
          </cell>
        </row>
        <row r="28">
          <cell r="R28">
            <v>136306009</v>
          </cell>
          <cell r="S28">
            <v>150202690</v>
          </cell>
          <cell r="T28">
            <v>168511057</v>
          </cell>
        </row>
        <row r="29">
          <cell r="R29">
            <v>36213740</v>
          </cell>
          <cell r="S29">
            <v>39905806</v>
          </cell>
          <cell r="T29">
            <v>44769967</v>
          </cell>
        </row>
        <row r="37">
          <cell r="G37">
            <v>1447056043</v>
          </cell>
          <cell r="H37">
            <v>1298067059</v>
          </cell>
        </row>
        <row r="38">
          <cell r="G38">
            <v>333890294</v>
          </cell>
          <cell r="H38">
            <v>317779741</v>
          </cell>
        </row>
        <row r="39">
          <cell r="G39">
            <v>591287303</v>
          </cell>
          <cell r="H39">
            <v>562757077</v>
          </cell>
        </row>
        <row r="40">
          <cell r="G40">
            <v>958502175</v>
          </cell>
          <cell r="H40">
            <v>912253452</v>
          </cell>
        </row>
        <row r="41">
          <cell r="G41">
            <v>269405025</v>
          </cell>
          <cell r="H41">
            <v>256405953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390277.96</v>
          </cell>
          <cell r="O27">
            <v>170844.11000000002</v>
          </cell>
          <cell r="P27">
            <v>1120484.02</v>
          </cell>
          <cell r="Q27">
            <v>160530.61000000002</v>
          </cell>
          <cell r="R27">
            <v>7601.419999999961</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2">
          <cell r="N32">
            <v>516649.91000000003</v>
          </cell>
          <cell r="O32">
            <v>-101252.55999999998</v>
          </cell>
          <cell r="P32">
            <v>-1051115.8700000001</v>
          </cell>
          <cell r="Q32">
            <v>-112505.70999999999</v>
          </cell>
          <cell r="R32">
            <v>12811.750000000426</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risdiction Allocations"/>
      <sheetName val="182442 CTD 042024 05162024"/>
    </sheetNames>
    <sheetDataSet>
      <sheetData sheetId="0">
        <row r="24">
          <cell r="M24">
            <v>39392.199999999997</v>
          </cell>
          <cell r="N24">
            <v>2884.6499999999996</v>
          </cell>
          <cell r="O24">
            <v>7264.87</v>
          </cell>
          <cell r="P24">
            <v>12162.75</v>
          </cell>
          <cell r="Q24">
            <v>12803.18</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ow r="1">
          <cell r="B1">
            <v>2</v>
          </cell>
        </row>
      </sheetData>
      <sheetData sheetId="2">
        <row r="461">
          <cell r="AY461">
            <v>1868362.2802340728</v>
          </cell>
          <cell r="AZ461">
            <v>2245152.901585775</v>
          </cell>
          <cell r="BA461">
            <v>2248971.6371460729</v>
          </cell>
          <cell r="BB461">
            <v>2035291.2867038338</v>
          </cell>
          <cell r="BC461">
            <v>1990431.4404071388</v>
          </cell>
          <cell r="BD461">
            <v>1922397.9095227602</v>
          </cell>
          <cell r="BE461">
            <v>2012049.3197173085</v>
          </cell>
          <cell r="BF461">
            <v>1798980.613363245</v>
          </cell>
          <cell r="BG461">
            <v>2185305.1722369785</v>
          </cell>
          <cell r="BH461">
            <v>2119657.9895510473</v>
          </cell>
          <cell r="BI461">
            <v>1792366.8018578598</v>
          </cell>
          <cell r="BJ461">
            <v>1934419.3392241932</v>
          </cell>
          <cell r="BK461">
            <v>1868090.3219008483</v>
          </cell>
          <cell r="BL461">
            <v>2244865.6932511777</v>
          </cell>
          <cell r="BM461">
            <v>2248684.4288128545</v>
          </cell>
          <cell r="BN461">
            <v>2035004.0783706154</v>
          </cell>
          <cell r="BO461">
            <v>1990144.2320739203</v>
          </cell>
          <cell r="BP461">
            <v>1922146.2845228608</v>
          </cell>
          <cell r="BQ461">
            <v>2006742.102586098</v>
          </cell>
          <cell r="BR461">
            <v>1793673.3962320348</v>
          </cell>
        </row>
        <row r="462">
          <cell r="AY462">
            <v>263801.06279768172</v>
          </cell>
          <cell r="AZ462">
            <v>264318.72449306515</v>
          </cell>
          <cell r="BA462">
            <v>277312.95369607519</v>
          </cell>
          <cell r="BB462">
            <v>250671.87783302029</v>
          </cell>
          <cell r="BC462">
            <v>278119.92153713811</v>
          </cell>
          <cell r="BD462">
            <v>265378.5658106081</v>
          </cell>
          <cell r="BE462">
            <v>278427.89331406658</v>
          </cell>
          <cell r="BF462">
            <v>268014.99223809683</v>
          </cell>
          <cell r="BG462">
            <v>315956.42437491793</v>
          </cell>
          <cell r="BH462">
            <v>315902.6243088796</v>
          </cell>
          <cell r="BI462">
            <v>261517.4425664233</v>
          </cell>
          <cell r="BJ462">
            <v>278731.52774533664</v>
          </cell>
          <cell r="BK462">
            <v>263801.06279768172</v>
          </cell>
          <cell r="BL462">
            <v>264318.72449306515</v>
          </cell>
          <cell r="BM462">
            <v>277312.95369607519</v>
          </cell>
          <cell r="BN462">
            <v>250671.87783302029</v>
          </cell>
          <cell r="BO462">
            <v>278119.92153713811</v>
          </cell>
          <cell r="BP462">
            <v>265378.5658106081</v>
          </cell>
          <cell r="BQ462">
            <v>278427.89331406658</v>
          </cell>
          <cell r="BR462">
            <v>268014.99223809683</v>
          </cell>
        </row>
        <row r="463">
          <cell r="AY463">
            <v>725528.77104012563</v>
          </cell>
          <cell r="AZ463">
            <v>727572.57396143128</v>
          </cell>
          <cell r="BA463">
            <v>765534.83470857353</v>
          </cell>
          <cell r="BB463">
            <v>692277.42601755226</v>
          </cell>
          <cell r="BC463">
            <v>767845.44313821197</v>
          </cell>
          <cell r="BD463">
            <v>730964.97503104957</v>
          </cell>
          <cell r="BE463">
            <v>768498.59362984227</v>
          </cell>
          <cell r="BF463">
            <v>737596.93271443178</v>
          </cell>
          <cell r="BG463">
            <v>757520.40814770653</v>
          </cell>
          <cell r="BH463">
            <v>771758.88612504257</v>
          </cell>
          <cell r="BI463">
            <v>718602.06944241421</v>
          </cell>
          <cell r="BJ463">
            <v>767372.93124465109</v>
          </cell>
          <cell r="BK463">
            <v>725528.77104012563</v>
          </cell>
          <cell r="BL463">
            <v>727572.57396143128</v>
          </cell>
          <cell r="BM463">
            <v>765534.83470857353</v>
          </cell>
          <cell r="BN463">
            <v>692277.42601755226</v>
          </cell>
          <cell r="BO463">
            <v>767845.44313821197</v>
          </cell>
          <cell r="BP463">
            <v>730964.97503104957</v>
          </cell>
          <cell r="BQ463">
            <v>768498.59362984227</v>
          </cell>
          <cell r="BR463">
            <v>737596.93271443178</v>
          </cell>
        </row>
        <row r="464">
          <cell r="AY464">
            <v>1105590.4351993196</v>
          </cell>
          <cell r="AZ464">
            <v>1108344.8572794208</v>
          </cell>
          <cell r="BA464">
            <v>1163558.8695408977</v>
          </cell>
          <cell r="BB464">
            <v>1051928.3272576134</v>
          </cell>
          <cell r="BC464">
            <v>1166589.4515185549</v>
          </cell>
          <cell r="BD464">
            <v>1112625.1484034334</v>
          </cell>
          <cell r="BE464">
            <v>1167785.7690276713</v>
          </cell>
          <cell r="BF464">
            <v>1122386.212099669</v>
          </cell>
          <cell r="BG464">
            <v>1152997.7643781509</v>
          </cell>
          <cell r="BH464">
            <v>1174282.5626696544</v>
          </cell>
          <cell r="BI464">
            <v>1094934.7429327022</v>
          </cell>
          <cell r="BJ464">
            <v>1168445.7250419294</v>
          </cell>
          <cell r="BK464">
            <v>1105590.4351993196</v>
          </cell>
          <cell r="BL464">
            <v>1108344.8572794208</v>
          </cell>
          <cell r="BM464">
            <v>1163558.8695408977</v>
          </cell>
          <cell r="BN464">
            <v>1051928.3272576134</v>
          </cell>
          <cell r="BO464">
            <v>1166589.4515185549</v>
          </cell>
          <cell r="BP464">
            <v>1112625.1484034334</v>
          </cell>
          <cell r="BQ464">
            <v>1167785.7690276713</v>
          </cell>
          <cell r="BR464">
            <v>1122386.212099669</v>
          </cell>
        </row>
        <row r="465">
          <cell r="AY465">
            <v>152608.63118135103</v>
          </cell>
          <cell r="AZ465">
            <v>152701.16394182056</v>
          </cell>
          <cell r="BA465">
            <v>159594.68393237609</v>
          </cell>
          <cell r="BB465">
            <v>144177.57882131313</v>
          </cell>
          <cell r="BC465">
            <v>160069.73692379554</v>
          </cell>
          <cell r="BD465">
            <v>153209.00323944428</v>
          </cell>
          <cell r="BE465">
            <v>160304.77425703476</v>
          </cell>
          <cell r="BF465">
            <v>155002.98703031117</v>
          </cell>
          <cell r="BG465">
            <v>159320.32813222078</v>
          </cell>
          <cell r="BH465">
            <v>162097.76696491829</v>
          </cell>
          <cell r="BI465">
            <v>151545.20621697267</v>
          </cell>
          <cell r="BJ465">
            <v>161025.44434313729</v>
          </cell>
          <cell r="BK465">
            <v>152608.63118135103</v>
          </cell>
          <cell r="BL465">
            <v>152701.16394182056</v>
          </cell>
          <cell r="BM465">
            <v>159594.68393237609</v>
          </cell>
          <cell r="BN465">
            <v>144177.57882131313</v>
          </cell>
          <cell r="BO465">
            <v>160069.73692379554</v>
          </cell>
          <cell r="BP465">
            <v>153209.00323944428</v>
          </cell>
          <cell r="BQ465">
            <v>160304.77425703476</v>
          </cell>
          <cell r="BR465">
            <v>155002.98703031117</v>
          </cell>
        </row>
        <row r="563">
          <cell r="BG563">
            <v>190150.42</v>
          </cell>
          <cell r="BH563">
            <v>183308.24999999997</v>
          </cell>
          <cell r="BI563">
            <v>143102.44</v>
          </cell>
          <cell r="BJ563">
            <v>88683.48</v>
          </cell>
          <cell r="BK563">
            <v>96947.489999999991</v>
          </cell>
          <cell r="BL563">
            <v>109536.96999999999</v>
          </cell>
          <cell r="BM563">
            <v>101025.29000000001</v>
          </cell>
          <cell r="BN563">
            <v>94058.639999999985</v>
          </cell>
          <cell r="BO563">
            <v>95137.08</v>
          </cell>
          <cell r="BP563">
            <v>97847.109999999986</v>
          </cell>
          <cell r="BQ563">
            <v>101039.54999999999</v>
          </cell>
          <cell r="BR563">
            <v>142354.48000000001</v>
          </cell>
        </row>
        <row r="564">
          <cell r="BG564">
            <v>26524.06</v>
          </cell>
          <cell r="BH564">
            <v>26075.55</v>
          </cell>
          <cell r="BI564">
            <v>21199.420000000002</v>
          </cell>
          <cell r="BJ564">
            <v>17756.739999999998</v>
          </cell>
          <cell r="BK564">
            <v>17578.559999999998</v>
          </cell>
          <cell r="BL564">
            <v>16539.86</v>
          </cell>
          <cell r="BM564">
            <v>16474.89</v>
          </cell>
          <cell r="BN564">
            <v>14944.609999999999</v>
          </cell>
          <cell r="BO564">
            <v>16999.73</v>
          </cell>
          <cell r="BP564">
            <v>17085.260000000002</v>
          </cell>
          <cell r="BQ564">
            <v>18778.53</v>
          </cell>
          <cell r="BR564">
            <v>23724.079999999998</v>
          </cell>
        </row>
        <row r="565">
          <cell r="BG565">
            <v>48205.939999999995</v>
          </cell>
          <cell r="BH565">
            <v>48721.81</v>
          </cell>
          <cell r="BI565">
            <v>45202.86</v>
          </cell>
          <cell r="BJ565">
            <v>34038.350000000006</v>
          </cell>
          <cell r="BK565">
            <v>34241.730000000003</v>
          </cell>
          <cell r="BL565">
            <v>31849.920000000002</v>
          </cell>
          <cell r="BM565">
            <v>31360.93</v>
          </cell>
          <cell r="BN565">
            <v>28632.11</v>
          </cell>
          <cell r="BO565">
            <v>32667.43</v>
          </cell>
          <cell r="BP565">
            <v>33185.42</v>
          </cell>
          <cell r="BQ565">
            <v>37213.81</v>
          </cell>
          <cell r="BR565">
            <v>49998.8</v>
          </cell>
        </row>
        <row r="566">
          <cell r="BG566">
            <v>44083.869999999995</v>
          </cell>
          <cell r="BH566">
            <v>45095.869999999995</v>
          </cell>
          <cell r="BI566">
            <v>40796.06</v>
          </cell>
          <cell r="BJ566">
            <v>29814.579999999998</v>
          </cell>
          <cell r="BK566">
            <v>31071.690000000002</v>
          </cell>
          <cell r="BL566">
            <v>28982.520000000004</v>
          </cell>
          <cell r="BM566">
            <v>28850.49</v>
          </cell>
          <cell r="BN566">
            <v>26303.199999999997</v>
          </cell>
          <cell r="BO566">
            <v>30069.190000000002</v>
          </cell>
          <cell r="BP566">
            <v>30819.5</v>
          </cell>
          <cell r="BQ566">
            <v>33533.67</v>
          </cell>
          <cell r="BR566">
            <v>45810.450000000004</v>
          </cell>
        </row>
        <row r="567">
          <cell r="BG567">
            <v>2235.52</v>
          </cell>
          <cell r="BH567">
            <v>2384.94</v>
          </cell>
          <cell r="BI567">
            <v>2180.63</v>
          </cell>
          <cell r="BJ567">
            <v>1633.24</v>
          </cell>
          <cell r="BK567">
            <v>1644.6</v>
          </cell>
          <cell r="BL567">
            <v>1612.23</v>
          </cell>
          <cell r="BM567">
            <v>1388.28</v>
          </cell>
          <cell r="BN567">
            <v>1577.7199999999998</v>
          </cell>
          <cell r="BO567">
            <v>1774.71</v>
          </cell>
          <cell r="BP567">
            <v>1678.02</v>
          </cell>
          <cell r="BQ567">
            <v>1766.64</v>
          </cell>
          <cell r="BR567">
            <v>2365.0100000000002</v>
          </cell>
        </row>
      </sheetData>
      <sheetData sheetId="3">
        <row r="469">
          <cell r="AY469">
            <v>360720.97877465788</v>
          </cell>
          <cell r="AZ469">
            <v>437130.14268842002</v>
          </cell>
          <cell r="BA469">
            <v>500279.30023051833</v>
          </cell>
          <cell r="BB469">
            <v>445826.67116403405</v>
          </cell>
          <cell r="BC469">
            <v>530983.27863121382</v>
          </cell>
          <cell r="BD469">
            <v>506856.61332265649</v>
          </cell>
          <cell r="BE469">
            <v>557054.64608210686</v>
          </cell>
          <cell r="BF469">
            <v>733352.34064106038</v>
          </cell>
          <cell r="BG469">
            <v>1247667.8856385786</v>
          </cell>
          <cell r="BH469">
            <v>1146530.051306142</v>
          </cell>
          <cell r="BI469">
            <v>607330.89102012932</v>
          </cell>
          <cell r="BJ469">
            <v>537874.16860915918</v>
          </cell>
          <cell r="BK469">
            <v>512057.75769547187</v>
          </cell>
          <cell r="BL469">
            <v>493312.73270892864</v>
          </cell>
          <cell r="BM469">
            <v>500279.30023051833</v>
          </cell>
          <cell r="BN469">
            <v>445826.67116403405</v>
          </cell>
          <cell r="BO469">
            <v>530983.27863121382</v>
          </cell>
          <cell r="BP469">
            <v>506856.61332265649</v>
          </cell>
          <cell r="BQ469">
            <v>557054.64608210686</v>
          </cell>
          <cell r="BR469">
            <v>733352.34064106038</v>
          </cell>
        </row>
        <row r="470">
          <cell r="AY470">
            <v>81878.44113717883</v>
          </cell>
          <cell r="AZ470">
            <v>91844.760584270873</v>
          </cell>
          <cell r="BA470">
            <v>102254.80298939135</v>
          </cell>
          <cell r="BB470">
            <v>92036.099981893611</v>
          </cell>
          <cell r="BC470">
            <v>104708.62699866685</v>
          </cell>
          <cell r="BD470">
            <v>100112.22489771721</v>
          </cell>
          <cell r="BE470">
            <v>105048.79142784615</v>
          </cell>
          <cell r="BF470">
            <v>107441.44666765752</v>
          </cell>
          <cell r="BG470">
            <v>112007.13199838345</v>
          </cell>
          <cell r="BH470">
            <v>113071.14002594998</v>
          </cell>
          <cell r="BI470">
            <v>104406.91868610124</v>
          </cell>
          <cell r="BJ470">
            <v>105475.15641194396</v>
          </cell>
          <cell r="BK470">
            <v>100145.48950247094</v>
          </cell>
          <cell r="BL470">
            <v>98017.615064462705</v>
          </cell>
          <cell r="BM470">
            <v>102254.80298939135</v>
          </cell>
          <cell r="BN470">
            <v>92036.099981893611</v>
          </cell>
          <cell r="BO470">
            <v>104708.62699866685</v>
          </cell>
          <cell r="BP470">
            <v>100112.22489771721</v>
          </cell>
          <cell r="BQ470">
            <v>105048.79142784615</v>
          </cell>
          <cell r="BR470">
            <v>107441.44666765752</v>
          </cell>
        </row>
        <row r="471">
          <cell r="AY471">
            <v>261966.52636404513</v>
          </cell>
          <cell r="AZ471">
            <v>550069.11216017883</v>
          </cell>
          <cell r="BA471">
            <v>862509.57533409155</v>
          </cell>
          <cell r="BB471">
            <v>779194.37323279702</v>
          </cell>
          <cell r="BC471">
            <v>867938.11842472525</v>
          </cell>
          <cell r="BD471">
            <v>829595.70438050572</v>
          </cell>
          <cell r="BE471">
            <v>869323.50327349594</v>
          </cell>
          <cell r="BF471">
            <v>846930.2474803722</v>
          </cell>
          <cell r="BG471">
            <v>870435.62494579016</v>
          </cell>
          <cell r="BH471">
            <v>884944.3316702646</v>
          </cell>
          <cell r="BI471">
            <v>826536.12320984737</v>
          </cell>
          <cell r="BJ471">
            <v>871872.79787913465</v>
          </cell>
          <cell r="BK471">
            <v>826200.01767375413</v>
          </cell>
          <cell r="BL471">
            <v>824237.0319569367</v>
          </cell>
          <cell r="BM471">
            <v>862509.57533409155</v>
          </cell>
          <cell r="BN471">
            <v>779194.37323279702</v>
          </cell>
          <cell r="BO471">
            <v>867938.11842472525</v>
          </cell>
          <cell r="BP471">
            <v>829595.70438050572</v>
          </cell>
          <cell r="BQ471">
            <v>869323.50327349594</v>
          </cell>
          <cell r="BR471">
            <v>846930.2474803722</v>
          </cell>
        </row>
        <row r="472">
          <cell r="AY472">
            <v>581989.50308475492</v>
          </cell>
          <cell r="AZ472">
            <v>851722.20390685089</v>
          </cell>
          <cell r="BA472">
            <v>1013806.605087347</v>
          </cell>
          <cell r="BB472">
            <v>915329.15058107453</v>
          </cell>
          <cell r="BC472">
            <v>1022370.4844704912</v>
          </cell>
          <cell r="BD472">
            <v>976358.77144218469</v>
          </cell>
          <cell r="BE472">
            <v>1024122.8104585793</v>
          </cell>
          <cell r="BF472">
            <v>1002705.3697778923</v>
          </cell>
          <cell r="BG472">
            <v>1030655.2735310289</v>
          </cell>
          <cell r="BH472">
            <v>1047364.6307225501</v>
          </cell>
          <cell r="BI472">
            <v>977472.03191911895</v>
          </cell>
          <cell r="BJ472">
            <v>1026401.7552801872</v>
          </cell>
          <cell r="BK472">
            <v>972388.63562024897</v>
          </cell>
          <cell r="BL472">
            <v>968119.51223383134</v>
          </cell>
          <cell r="BM472">
            <v>1013806.605087347</v>
          </cell>
          <cell r="BN472">
            <v>915329.15058107453</v>
          </cell>
          <cell r="BO472">
            <v>1022370.4844704912</v>
          </cell>
          <cell r="BP472">
            <v>976358.77144218469</v>
          </cell>
          <cell r="BQ472">
            <v>1024122.8104585793</v>
          </cell>
          <cell r="BR472">
            <v>1002705.3697778923</v>
          </cell>
        </row>
        <row r="473">
          <cell r="AY473">
            <v>120504.44399917399</v>
          </cell>
          <cell r="AZ473">
            <v>132406.03251795151</v>
          </cell>
          <cell r="BA473">
            <v>140594.77654435296</v>
          </cell>
          <cell r="BB473">
            <v>126727.05337324894</v>
          </cell>
          <cell r="BC473">
            <v>142668.49691555143</v>
          </cell>
          <cell r="BD473">
            <v>136604.26004974515</v>
          </cell>
          <cell r="BE473">
            <v>143037.67174588458</v>
          </cell>
          <cell r="BF473">
            <v>143013.36809365291</v>
          </cell>
          <cell r="BG473">
            <v>147113.74138180708</v>
          </cell>
          <cell r="BH473">
            <v>149117.69996324065</v>
          </cell>
          <cell r="BI473">
            <v>139417.55343259484</v>
          </cell>
          <cell r="BJ473">
            <v>143800.26968004098</v>
          </cell>
          <cell r="BK473">
            <v>136483.86865145533</v>
          </cell>
          <cell r="BL473">
            <v>134825.91197972436</v>
          </cell>
          <cell r="BM473">
            <v>140594.77654435296</v>
          </cell>
          <cell r="BN473">
            <v>126727.05337324894</v>
          </cell>
          <cell r="BO473">
            <v>142668.49691555143</v>
          </cell>
          <cell r="BP473">
            <v>136604.26004974515</v>
          </cell>
          <cell r="BQ473">
            <v>143037.67174588458</v>
          </cell>
          <cell r="BR473">
            <v>143013.36809365291</v>
          </cell>
        </row>
        <row r="575">
          <cell r="BG575">
            <v>132694.41</v>
          </cell>
          <cell r="BH575">
            <v>122493.27</v>
          </cell>
          <cell r="BI575">
            <v>64825.31</v>
          </cell>
          <cell r="BJ575">
            <v>33563.11</v>
          </cell>
          <cell r="BK575">
            <v>36176.550000000003</v>
          </cell>
          <cell r="BL575">
            <v>33377.550000000003</v>
          </cell>
          <cell r="BM575">
            <v>31146.2</v>
          </cell>
          <cell r="BN575">
            <v>28504.35</v>
          </cell>
          <cell r="BO575">
            <v>34667.18</v>
          </cell>
          <cell r="BP575">
            <v>35241.979999999996</v>
          </cell>
          <cell r="BQ575">
            <v>38248.51</v>
          </cell>
          <cell r="BR575">
            <v>76280.340000000011</v>
          </cell>
        </row>
        <row r="576">
          <cell r="BG576">
            <v>9107.01</v>
          </cell>
          <cell r="BH576">
            <v>9078.48</v>
          </cell>
          <cell r="BI576">
            <v>8356.7400000000016</v>
          </cell>
          <cell r="BJ576">
            <v>6393.08</v>
          </cell>
          <cell r="BK576">
            <v>6401.4600000000009</v>
          </cell>
          <cell r="BL576">
            <v>5892.93</v>
          </cell>
          <cell r="BM576">
            <v>5816.17</v>
          </cell>
          <cell r="BN576">
            <v>5264.6299999999992</v>
          </cell>
          <cell r="BO576">
            <v>6141.1100000000006</v>
          </cell>
          <cell r="BP576">
            <v>6193.32</v>
          </cell>
          <cell r="BQ576">
            <v>6765.34</v>
          </cell>
          <cell r="BR576">
            <v>9245.81</v>
          </cell>
        </row>
        <row r="577">
          <cell r="BG577">
            <v>50655.859999999993</v>
          </cell>
          <cell r="BH577">
            <v>51097.59</v>
          </cell>
          <cell r="BI577">
            <v>47558.520000000004</v>
          </cell>
          <cell r="BJ577">
            <v>35210.19</v>
          </cell>
          <cell r="BK577">
            <v>35541.129999999997</v>
          </cell>
          <cell r="BL577">
            <v>32892.14</v>
          </cell>
          <cell r="BM577">
            <v>32196.020000000004</v>
          </cell>
          <cell r="BN577">
            <v>29370.789999999997</v>
          </cell>
          <cell r="BO577">
            <v>33664.589999999997</v>
          </cell>
          <cell r="BP577">
            <v>34338.439999999995</v>
          </cell>
          <cell r="BQ577">
            <v>38327.65</v>
          </cell>
          <cell r="BR577">
            <v>52400.100000000006</v>
          </cell>
        </row>
        <row r="578">
          <cell r="BG578">
            <v>38729.68</v>
          </cell>
          <cell r="BH578">
            <v>39501.31</v>
          </cell>
          <cell r="BI578">
            <v>35849.58</v>
          </cell>
          <cell r="BJ578">
            <v>25413.41</v>
          </cell>
          <cell r="BK578">
            <v>26565.55</v>
          </cell>
          <cell r="BL578">
            <v>24591.000000000004</v>
          </cell>
          <cell r="BM578">
            <v>24359.82</v>
          </cell>
          <cell r="BN578">
            <v>22188.54</v>
          </cell>
          <cell r="BO578">
            <v>25593.079999999998</v>
          </cell>
          <cell r="BP578">
            <v>26268.18</v>
          </cell>
          <cell r="BQ578">
            <v>28487.719999999998</v>
          </cell>
          <cell r="BR578">
            <v>39995.909999999996</v>
          </cell>
        </row>
        <row r="579">
          <cell r="BG579">
            <v>2612.98</v>
          </cell>
          <cell r="BH579">
            <v>2742.7099999999996</v>
          </cell>
          <cell r="BI579">
            <v>2522.87</v>
          </cell>
          <cell r="BJ579">
            <v>1732.06</v>
          </cell>
          <cell r="BK579">
            <v>1769.86</v>
          </cell>
          <cell r="BL579">
            <v>1690.8899999999999</v>
          </cell>
          <cell r="BM579">
            <v>1477.3200000000002</v>
          </cell>
          <cell r="BN579">
            <v>1614.19</v>
          </cell>
          <cell r="BO579">
            <v>1859.17</v>
          </cell>
          <cell r="BP579">
            <v>1784.61</v>
          </cell>
          <cell r="BQ579">
            <v>1872.5</v>
          </cell>
          <cell r="BR579">
            <v>2695.33</v>
          </cell>
        </row>
      </sheetData>
      <sheetData sheetId="4">
        <row r="569">
          <cell r="AY569">
            <v>0</v>
          </cell>
          <cell r="AZ569">
            <v>0</v>
          </cell>
          <cell r="BA569">
            <v>34.305202654311813</v>
          </cell>
          <cell r="BB569">
            <v>185.12552688622003</v>
          </cell>
          <cell r="BC569">
            <v>12622.272659931103</v>
          </cell>
          <cell r="BD569">
            <v>35922.976584091644</v>
          </cell>
          <cell r="BE569">
            <v>84781.429994641629</v>
          </cell>
          <cell r="BF569">
            <v>207485.10974698453</v>
          </cell>
          <cell r="BG569">
            <v>461625.10957984207</v>
          </cell>
          <cell r="BH569">
            <v>578260.11106692289</v>
          </cell>
          <cell r="BI569">
            <v>426082.19916050055</v>
          </cell>
          <cell r="BJ569">
            <v>449545.61338676268</v>
          </cell>
          <cell r="BK569">
            <v>486168.65446109738</v>
          </cell>
          <cell r="BL569">
            <v>542992.02694669273</v>
          </cell>
          <cell r="BM569">
            <v>582690.70911537122</v>
          </cell>
          <cell r="BN569">
            <v>520025.15843918239</v>
          </cell>
          <cell r="BO569">
            <v>605920.59240383736</v>
          </cell>
          <cell r="BP569">
            <v>575459.98483811901</v>
          </cell>
          <cell r="BQ569">
            <v>643712.01067831332</v>
          </cell>
          <cell r="BR569">
            <v>862871.98978507321</v>
          </cell>
        </row>
        <row r="570">
          <cell r="AY570">
            <v>0</v>
          </cell>
          <cell r="AZ570">
            <v>0</v>
          </cell>
          <cell r="BA570">
            <v>36854.298317062268</v>
          </cell>
          <cell r="BB570">
            <v>66672.116247654689</v>
          </cell>
          <cell r="BC570">
            <v>74715.957175049698</v>
          </cell>
          <cell r="BD570">
            <v>77362.111456860104</v>
          </cell>
          <cell r="BE570">
            <v>108515.6615477233</v>
          </cell>
          <cell r="BF570">
            <v>132402.92360371933</v>
          </cell>
          <cell r="BG570">
            <v>152804.10222020579</v>
          </cell>
          <cell r="BH570">
            <v>175515.46623407901</v>
          </cell>
          <cell r="BI570">
            <v>184956.80995266372</v>
          </cell>
          <cell r="BJ570">
            <v>223341.3705660566</v>
          </cell>
          <cell r="BK570">
            <v>240401.85662205474</v>
          </cell>
          <cell r="BL570">
            <v>278609.76281928143</v>
          </cell>
          <cell r="BM570">
            <v>316675.38978268509</v>
          </cell>
          <cell r="BN570">
            <v>286218.56551126699</v>
          </cell>
          <cell r="BO570">
            <v>318111.18119970476</v>
          </cell>
          <cell r="BP570">
            <v>303289.29132625932</v>
          </cell>
          <cell r="BQ570">
            <v>318480.81910160836</v>
          </cell>
          <cell r="BR570">
            <v>307660.09030715487</v>
          </cell>
        </row>
        <row r="571">
          <cell r="AY571">
            <v>0</v>
          </cell>
          <cell r="AZ571">
            <v>0</v>
          </cell>
          <cell r="BA571">
            <v>173222.81140699718</v>
          </cell>
          <cell r="BB571">
            <v>313319.16382782056</v>
          </cell>
          <cell r="BC571">
            <v>353863.45247815264</v>
          </cell>
          <cell r="BD571">
            <v>350046.38330407394</v>
          </cell>
          <cell r="BE571">
            <v>417257.4769742749</v>
          </cell>
          <cell r="BF571">
            <v>456704.94139472046</v>
          </cell>
          <cell r="BG571">
            <v>502840.92840368446</v>
          </cell>
          <cell r="BH571">
            <v>552111.29674363683</v>
          </cell>
          <cell r="BI571">
            <v>557578.61481869803</v>
          </cell>
          <cell r="BJ571">
            <v>647802.31262363819</v>
          </cell>
          <cell r="BK571">
            <v>671274.79435248522</v>
          </cell>
          <cell r="BL571">
            <v>748672.72590652423</v>
          </cell>
          <cell r="BM571">
            <v>834463.77105176938</v>
          </cell>
          <cell r="BN571">
            <v>754277.43746833794</v>
          </cell>
          <cell r="BO571">
            <v>837578.03929009323</v>
          </cell>
          <cell r="BP571">
            <v>798673.58564704307</v>
          </cell>
          <cell r="BQ571">
            <v>838505.10991095414</v>
          </cell>
          <cell r="BR571">
            <v>808318.83528680552</v>
          </cell>
        </row>
        <row r="572">
          <cell r="AY572">
            <v>0</v>
          </cell>
          <cell r="AZ572">
            <v>0</v>
          </cell>
          <cell r="BA572">
            <v>38989.525282510207</v>
          </cell>
          <cell r="BB572">
            <v>70541.885892202452</v>
          </cell>
          <cell r="BC572">
            <v>79129.581746210722</v>
          </cell>
          <cell r="BD572">
            <v>76435.680110475863</v>
          </cell>
          <cell r="BE572">
            <v>149237.25084866813</v>
          </cell>
          <cell r="BF572">
            <v>234111.36739962766</v>
          </cell>
          <cell r="BG572">
            <v>294163.28318361513</v>
          </cell>
          <cell r="BH572">
            <v>362939.40149007639</v>
          </cell>
          <cell r="BI572">
            <v>406645.94794235297</v>
          </cell>
          <cell r="BJ572">
            <v>516056.41240990593</v>
          </cell>
          <cell r="BK572">
            <v>581260.83247068315</v>
          </cell>
          <cell r="BL572">
            <v>702433.91960406362</v>
          </cell>
          <cell r="BM572">
            <v>814166.65893388703</v>
          </cell>
          <cell r="BN572">
            <v>735703.04588130675</v>
          </cell>
          <cell r="BO572">
            <v>818410.93215844454</v>
          </cell>
          <cell r="BP572">
            <v>780547.63828858663</v>
          </cell>
          <cell r="BQ572">
            <v>819446.73045564012</v>
          </cell>
          <cell r="BR572">
            <v>793532.82504055137</v>
          </cell>
        </row>
        <row r="573">
          <cell r="AY573">
            <v>0</v>
          </cell>
          <cell r="AZ573">
            <v>0</v>
          </cell>
          <cell r="BA573">
            <v>20679.25425015041</v>
          </cell>
          <cell r="BB573">
            <v>37413.987040881351</v>
          </cell>
          <cell r="BC573">
            <v>41438.818845397691</v>
          </cell>
          <cell r="BD573">
            <v>39415.316562468506</v>
          </cell>
          <cell r="BE573">
            <v>59797.494580463863</v>
          </cell>
          <cell r="BF573">
            <v>81596.934871569887</v>
          </cell>
          <cell r="BG573">
            <v>98155.774997948363</v>
          </cell>
          <cell r="BH573">
            <v>116914.74514728517</v>
          </cell>
          <cell r="BI573">
            <v>127211.59346715752</v>
          </cell>
          <cell r="BJ573">
            <v>157780.88737411521</v>
          </cell>
          <cell r="BK573">
            <v>174114.07158873882</v>
          </cell>
          <cell r="BL573">
            <v>206579.08951674367</v>
          </cell>
          <cell r="BM573">
            <v>237447.05965122409</v>
          </cell>
          <cell r="BN573">
            <v>214583.4379960795</v>
          </cell>
          <cell r="BO573">
            <v>238619.90310299114</v>
          </cell>
          <cell r="BP573">
            <v>227529.2159056396</v>
          </cell>
          <cell r="BQ573">
            <v>238909.74869709424</v>
          </cell>
          <cell r="BR573">
            <v>231101.2933263017</v>
          </cell>
        </row>
        <row r="701">
          <cell r="BG701">
            <v>35557.660000000003</v>
          </cell>
          <cell r="BH701">
            <v>44533.04</v>
          </cell>
          <cell r="BI701">
            <v>30986.140000000003</v>
          </cell>
          <cell r="BJ701">
            <v>19335.68</v>
          </cell>
          <cell r="BK701">
            <v>23829.84</v>
          </cell>
          <cell r="BL701">
            <v>25777.8</v>
          </cell>
          <cell r="BM701">
            <v>25429.61</v>
          </cell>
          <cell r="BN701">
            <v>23320.07</v>
          </cell>
          <cell r="BO701">
            <v>27508.14</v>
          </cell>
          <cell r="BP701">
            <v>27864.400000000001</v>
          </cell>
          <cell r="BQ701">
            <v>30603.68</v>
          </cell>
          <cell r="BR701">
            <v>60860.5</v>
          </cell>
        </row>
        <row r="702">
          <cell r="BG702">
            <v>11245.320000000002</v>
          </cell>
          <cell r="BH702">
            <v>12730.359999999999</v>
          </cell>
          <cell r="BI702">
            <v>13355.4</v>
          </cell>
          <cell r="BJ702">
            <v>12650.36</v>
          </cell>
          <cell r="BK702">
            <v>14237.980000000001</v>
          </cell>
          <cell r="BL702">
            <v>15494.92</v>
          </cell>
          <cell r="BM702">
            <v>16704.64</v>
          </cell>
          <cell r="BN702">
            <v>15156.160000000002</v>
          </cell>
          <cell r="BO702">
            <v>17256.900000000001</v>
          </cell>
          <cell r="BP702">
            <v>17332.63</v>
          </cell>
          <cell r="BQ702">
            <v>19053.379999999997</v>
          </cell>
          <cell r="BR702">
            <v>24157.280000000002</v>
          </cell>
        </row>
        <row r="703">
          <cell r="BG703">
            <v>27282.42</v>
          </cell>
          <cell r="BH703">
            <v>29793.77</v>
          </cell>
          <cell r="BI703">
            <v>30035.749999999996</v>
          </cell>
          <cell r="BJ703">
            <v>24603.25</v>
          </cell>
          <cell r="BK703">
            <v>27137.480000000003</v>
          </cell>
          <cell r="BL703">
            <v>28068.92</v>
          </cell>
          <cell r="BM703">
            <v>29257.68</v>
          </cell>
          <cell r="BN703">
            <v>26706.1</v>
          </cell>
          <cell r="BO703">
            <v>30501.230000000003</v>
          </cell>
          <cell r="BP703">
            <v>31036.540000000005</v>
          </cell>
          <cell r="BQ703">
            <v>34716.639999999999</v>
          </cell>
          <cell r="BR703">
            <v>46897.89</v>
          </cell>
        </row>
        <row r="704">
          <cell r="BG704">
            <v>10250.77</v>
          </cell>
          <cell r="BH704">
            <v>12853.91</v>
          </cell>
          <cell r="BI704">
            <v>14107.040000000003</v>
          </cell>
          <cell r="BJ704">
            <v>12042.66</v>
          </cell>
          <cell r="BK704">
            <v>14968.400000000001</v>
          </cell>
          <cell r="BL704">
            <v>16761.02</v>
          </cell>
          <cell r="BM704">
            <v>18343.04</v>
          </cell>
          <cell r="BN704">
            <v>16724.61</v>
          </cell>
          <cell r="BO704">
            <v>19217.209999999995</v>
          </cell>
          <cell r="BP704">
            <v>19697.73</v>
          </cell>
          <cell r="BQ704">
            <v>21366.35</v>
          </cell>
          <cell r="BR704">
            <v>29729.229999999996</v>
          </cell>
        </row>
        <row r="705">
          <cell r="BG705">
            <v>1164.42</v>
          </cell>
          <cell r="BH705">
            <v>1542.2500000000002</v>
          </cell>
          <cell r="BI705">
            <v>1691.4199999999998</v>
          </cell>
          <cell r="BJ705">
            <v>1507.71</v>
          </cell>
          <cell r="BK705">
            <v>1773.74</v>
          </cell>
          <cell r="BL705">
            <v>2051.69</v>
          </cell>
          <cell r="BM705">
            <v>1937.3999999999999</v>
          </cell>
          <cell r="BN705">
            <v>2206.13</v>
          </cell>
          <cell r="BO705">
            <v>2480.8200000000002</v>
          </cell>
          <cell r="BP705">
            <v>2336.9800000000005</v>
          </cell>
          <cell r="BQ705">
            <v>2467.6699999999996</v>
          </cell>
          <cell r="BR705">
            <v>3289.1600000000003</v>
          </cell>
        </row>
      </sheetData>
      <sheetData sheetId="5">
        <row r="3">
          <cell r="L3">
            <v>126429.88</v>
          </cell>
          <cell r="M3">
            <v>144057.09</v>
          </cell>
          <cell r="N3">
            <v>132194.95000000001</v>
          </cell>
          <cell r="O3">
            <v>122596.31999999998</v>
          </cell>
          <cell r="P3">
            <v>130429.51999999999</v>
          </cell>
          <cell r="Q3">
            <v>134894.54999999999</v>
          </cell>
          <cell r="R3">
            <v>143786.32999999999</v>
          </cell>
          <cell r="S3">
            <v>233887.77</v>
          </cell>
        </row>
        <row r="4">
          <cell r="L4">
            <v>21350.519999999997</v>
          </cell>
          <cell r="M4">
            <v>20697.23</v>
          </cell>
          <cell r="N4">
            <v>24262.299999999996</v>
          </cell>
          <cell r="O4">
            <v>23785.96</v>
          </cell>
          <cell r="P4">
            <v>27248.58</v>
          </cell>
          <cell r="Q4">
            <v>27759.700000000004</v>
          </cell>
          <cell r="R4">
            <v>32121.5</v>
          </cell>
          <cell r="S4">
            <v>43419.25</v>
          </cell>
        </row>
        <row r="5">
          <cell r="L5">
            <v>41080.589999999997</v>
          </cell>
          <cell r="M5">
            <v>49632.340000000011</v>
          </cell>
          <cell r="N5">
            <v>69627.010000000009</v>
          </cell>
          <cell r="O5">
            <v>69084.739999999991</v>
          </cell>
          <cell r="P5">
            <v>79193.049999999988</v>
          </cell>
          <cell r="Q5">
            <v>81092.969999999987</v>
          </cell>
          <cell r="R5">
            <v>92813.829999999987</v>
          </cell>
          <cell r="S5">
            <v>128765.05000000002</v>
          </cell>
        </row>
        <row r="6">
          <cell r="L6">
            <v>44136.18</v>
          </cell>
          <cell r="M6">
            <v>47976.95</v>
          </cell>
          <cell r="N6">
            <v>54055.29</v>
          </cell>
          <cell r="O6">
            <v>50032.939999999995</v>
          </cell>
          <cell r="P6">
            <v>57430.8</v>
          </cell>
          <cell r="Q6">
            <v>58915.33</v>
          </cell>
          <cell r="R6">
            <v>65767.210000000006</v>
          </cell>
          <cell r="S6">
            <v>94311.1</v>
          </cell>
        </row>
        <row r="7">
          <cell r="L7">
            <v>3002.81</v>
          </cell>
          <cell r="M7">
            <v>3199.66</v>
          </cell>
          <cell r="N7">
            <v>2998.4400000000005</v>
          </cell>
          <cell r="O7">
            <v>3515.77</v>
          </cell>
          <cell r="P7">
            <v>3987.94</v>
          </cell>
          <cell r="Q7">
            <v>3786.15</v>
          </cell>
          <cell r="R7">
            <v>4155.91</v>
          </cell>
          <cell r="S7">
            <v>6051.04</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sheetData sheetId="1"/>
      <sheetData sheetId="2"/>
      <sheetData sheetId="3"/>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AC571">
            <v>-5474.6800000000076</v>
          </cell>
          <cell r="AD571">
            <v>-3336.9700000000012</v>
          </cell>
          <cell r="AE571">
            <v>-3349.0200000000186</v>
          </cell>
          <cell r="AF571">
            <v>-7376.6699999999837</v>
          </cell>
          <cell r="AG571">
            <v>-9055.1699999999837</v>
          </cell>
          <cell r="AH571">
            <v>-17646.240000000078</v>
          </cell>
          <cell r="AI571">
            <v>-27382.049999999988</v>
          </cell>
          <cell r="AJ571">
            <v>-10388.499999999971</v>
          </cell>
          <cell r="AK571">
            <v>-9252.61</v>
          </cell>
          <cell r="AL571">
            <v>-6616.5599999999831</v>
          </cell>
          <cell r="AM571">
            <v>-7791.0399999999936</v>
          </cell>
          <cell r="AN571">
            <v>-13443.069999999978</v>
          </cell>
          <cell r="AO571">
            <v>-10042.159999999989</v>
          </cell>
          <cell r="AP571">
            <v>-9673.2099999999919</v>
          </cell>
          <cell r="AQ571">
            <v>-9915.0700000000215</v>
          </cell>
          <cell r="AR571">
            <v>-10258.759999999995</v>
          </cell>
          <cell r="AS571">
            <v>-10581</v>
          </cell>
          <cell r="AT571">
            <v>-15649.509999999995</v>
          </cell>
          <cell r="AU571">
            <v>-19171.889999999985</v>
          </cell>
          <cell r="AV571">
            <v>-18585.459999999992</v>
          </cell>
          <cell r="AW571">
            <v>-15425.060000000012</v>
          </cell>
          <cell r="AX571">
            <v>-9310.4199999999983</v>
          </cell>
          <cell r="AY571">
            <v>-10240.630000000005</v>
          </cell>
          <cell r="AZ571">
            <v>-11059.210000000006</v>
          </cell>
          <cell r="BA571">
            <v>-9951.0800000000163</v>
          </cell>
          <cell r="BB571">
            <v>-9439.320000000007</v>
          </cell>
          <cell r="BC571">
            <v>-9713.7299999999959</v>
          </cell>
          <cell r="BD571">
            <v>-10048.25</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cell r="AY572">
            <v>-182.06999999999971</v>
          </cell>
          <cell r="AZ572">
            <v>-168.60000000000036</v>
          </cell>
          <cell r="BA572">
            <v>-292.80999999999767</v>
          </cell>
          <cell r="BB572">
            <v>-266.31999999999971</v>
          </cell>
          <cell r="BC572">
            <v>-307.40999999999985</v>
          </cell>
          <cell r="BD572">
            <v>-305.90000000000146</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cell r="AY573">
            <v>-2201.2400000000016</v>
          </cell>
          <cell r="AZ573">
            <v>-2045.3400000000038</v>
          </cell>
          <cell r="BA573">
            <v>-2393.4400000000023</v>
          </cell>
          <cell r="BB573">
            <v>-2185.4700000000012</v>
          </cell>
          <cell r="BC573">
            <v>-2496.5699999999997</v>
          </cell>
          <cell r="BD573">
            <v>-2534.1399999999994</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cell r="AY574">
            <v>-677.84999999999854</v>
          </cell>
          <cell r="AZ574">
            <v>-625.0199999999968</v>
          </cell>
          <cell r="BA574">
            <v>-855.85000000000218</v>
          </cell>
          <cell r="BB574">
            <v>-781.20000000000073</v>
          </cell>
          <cell r="BC574">
            <v>-904.56000000000131</v>
          </cell>
          <cell r="BD574">
            <v>-920.73999999999796</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cell r="AY575">
            <v>42.679999999999836</v>
          </cell>
          <cell r="AZ575">
            <v>50.199999999999818</v>
          </cell>
          <cell r="BA575">
            <v>37.049999999999955</v>
          </cell>
          <cell r="BB575">
            <v>57.560000000000173</v>
          </cell>
          <cell r="BC575">
            <v>57.269999999999754</v>
          </cell>
          <cell r="BD575">
            <v>47.539999999999964</v>
          </cell>
        </row>
      </sheetData>
      <sheetData sheetId="5">
        <row r="436">
          <cell r="AC436">
            <v>-177.05999999999767</v>
          </cell>
          <cell r="AD436">
            <v>-761.60000000000582</v>
          </cell>
          <cell r="AE436">
            <v>-978.8300000000163</v>
          </cell>
          <cell r="AF436">
            <v>-1406.75</v>
          </cell>
          <cell r="AG436">
            <v>-1450.3699999999953</v>
          </cell>
          <cell r="AH436">
            <v>-2197.2600000000093</v>
          </cell>
          <cell r="AI436">
            <v>-2819.8000000000466</v>
          </cell>
          <cell r="AJ436">
            <v>-2926</v>
          </cell>
          <cell r="AK436">
            <v>-3845.5400000000081</v>
          </cell>
          <cell r="AL436">
            <v>-2955.890000000014</v>
          </cell>
          <cell r="AM436">
            <v>-3600.8500000000058</v>
          </cell>
          <cell r="AN436">
            <v>-7868.3600000000151</v>
          </cell>
          <cell r="AO436">
            <v>-3892.5500000000029</v>
          </cell>
          <cell r="AP436">
            <v>-3676.1300000000192</v>
          </cell>
          <cell r="AQ436">
            <v>-3392.6199999999953</v>
          </cell>
          <cell r="AR436">
            <v>-3515.320000000007</v>
          </cell>
          <cell r="AS436">
            <v>-3505.3200000000215</v>
          </cell>
          <cell r="AT436">
            <v>-3347.460000000021</v>
          </cell>
          <cell r="AU436">
            <v>-3226.3600000000151</v>
          </cell>
          <cell r="AV436">
            <v>-3479.9199999999837</v>
          </cell>
          <cell r="AW436">
            <v>-4336.2399999999907</v>
          </cell>
          <cell r="AX436">
            <v>-3097.0100000000093</v>
          </cell>
          <cell r="AY436">
            <v>-3411.6600000000035</v>
          </cell>
          <cell r="AZ436">
            <v>-4306.6300000000047</v>
          </cell>
          <cell r="BA436">
            <v>-1.9999999989522621E-2</v>
          </cell>
          <cell r="BB436">
            <v>0</v>
          </cell>
          <cell r="BC436">
            <v>9.9999999947613105E-3</v>
          </cell>
          <cell r="BD436">
            <v>0</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cell r="AY437">
            <v>1309.0500000000011</v>
          </cell>
          <cell r="AZ437">
            <v>1234.6100000000024</v>
          </cell>
          <cell r="BA437">
            <v>0</v>
          </cell>
          <cell r="BB437">
            <v>1.0000000000218279E-2</v>
          </cell>
          <cell r="BC437">
            <v>0</v>
          </cell>
          <cell r="BD437">
            <v>0</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cell r="AY438">
            <v>4196.2100000000028</v>
          </cell>
          <cell r="AZ438">
            <v>3909.9900000000016</v>
          </cell>
          <cell r="BA438">
            <v>-9.9999999983992893E-3</v>
          </cell>
          <cell r="BB438">
            <v>-1.0000000002037268E-2</v>
          </cell>
          <cell r="BC438">
            <v>-1.0000000002037268E-2</v>
          </cell>
          <cell r="BD438">
            <v>-9.9999999983992893E-3</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cell r="AY439">
            <v>2545.7299999999959</v>
          </cell>
          <cell r="AZ439">
            <v>2382.9099999999962</v>
          </cell>
          <cell r="BA439">
            <v>-1.0000000002037268E-2</v>
          </cell>
          <cell r="BB439">
            <v>-9.9999999947613105E-3</v>
          </cell>
          <cell r="BC439">
            <v>1.0000000002037268E-2</v>
          </cell>
          <cell r="BD439">
            <v>0</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cell r="AY440">
            <v>6.6600000000000819</v>
          </cell>
          <cell r="AZ440">
            <v>6.7699999999999818</v>
          </cell>
          <cell r="BA440">
            <v>0</v>
          </cell>
          <cell r="BB440">
            <v>0</v>
          </cell>
          <cell r="BC440">
            <v>-9.9999999999909051E-3</v>
          </cell>
          <cell r="BD440">
            <v>0</v>
          </cell>
        </row>
      </sheetData>
      <sheetData sheetId="6">
        <row r="55">
          <cell r="AA55">
            <v>-15.92</v>
          </cell>
          <cell r="AB55">
            <v>-43.45</v>
          </cell>
          <cell r="AC55">
            <v>-67.319999999999993</v>
          </cell>
          <cell r="AD55">
            <v>-104.92</v>
          </cell>
          <cell r="AE55">
            <v>-145.68</v>
          </cell>
          <cell r="AF55">
            <v>-236.25</v>
          </cell>
          <cell r="AG55">
            <v>-373.56</v>
          </cell>
          <cell r="AH55">
            <v>-496.83</v>
          </cell>
          <cell r="AI55">
            <v>-570.44000000000005</v>
          </cell>
          <cell r="AJ55">
            <v>-647.49</v>
          </cell>
          <cell r="AK55">
            <v>-706.73</v>
          </cell>
          <cell r="AL55">
            <v>-743.81</v>
          </cell>
          <cell r="AM55">
            <v>-817.7</v>
          </cell>
          <cell r="AN55">
            <v>-865.08</v>
          </cell>
          <cell r="AO55">
            <v>-907.55</v>
          </cell>
          <cell r="AP55">
            <v>-1041.93</v>
          </cell>
          <cell r="AQ55">
            <v>-1130.6300000000001</v>
          </cell>
          <cell r="AR55">
            <v>-1156.3499999999999</v>
          </cell>
          <cell r="AS55">
            <v>-1253.1300000000001</v>
          </cell>
          <cell r="AT55">
            <v>-1414.94</v>
          </cell>
          <cell r="AU55">
            <v>-1483.14</v>
          </cell>
          <cell r="AV55">
            <v>-1558.87</v>
          </cell>
          <cell r="AW55">
            <v>-1703.02</v>
          </cell>
          <cell r="AX55">
            <v>-1790.94</v>
          </cell>
          <cell r="AY55">
            <v>-1843.25</v>
          </cell>
          <cell r="AZ55">
            <v>-1705.25</v>
          </cell>
          <cell r="BA55">
            <v>-1838.42</v>
          </cell>
          <cell r="BB55">
            <v>-2087.29</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26.52</v>
          </cell>
          <cell r="AW56">
            <v>33.590000000000003</v>
          </cell>
          <cell r="AX56">
            <v>39.450000000000003</v>
          </cell>
          <cell r="AY56">
            <v>41.15</v>
          </cell>
          <cell r="AZ56">
            <v>35.81</v>
          </cell>
          <cell r="BA56">
            <v>36.270000000000003</v>
          </cell>
          <cell r="BB56">
            <v>38.619999999999997</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74.19</v>
          </cell>
          <cell r="AV57">
            <v>84.45</v>
          </cell>
          <cell r="AW57">
            <v>98.77</v>
          </cell>
          <cell r="AX57">
            <v>109.42</v>
          </cell>
          <cell r="AY57">
            <v>107.36</v>
          </cell>
          <cell r="AZ57">
            <v>86.31</v>
          </cell>
          <cell r="BA57">
            <v>79.510000000000005</v>
          </cell>
          <cell r="BB57">
            <v>75.66</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93.62</v>
          </cell>
          <cell r="AU58">
            <v>103.38</v>
          </cell>
          <cell r="AV58">
            <v>112.79</v>
          </cell>
          <cell r="AW58">
            <v>127.73</v>
          </cell>
          <cell r="AX58">
            <v>138.01</v>
          </cell>
          <cell r="AY58">
            <v>139.38999999999999</v>
          </cell>
          <cell r="AZ58">
            <v>121.88</v>
          </cell>
          <cell r="BA58">
            <v>124.08</v>
          </cell>
          <cell r="BB58">
            <v>133.03</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13.59</v>
          </cell>
          <cell r="AW59">
            <v>14.54</v>
          </cell>
          <cell r="AX59">
            <v>14.93</v>
          </cell>
          <cell r="AY59">
            <v>15.07</v>
          </cell>
          <cell r="AZ59">
            <v>13.8</v>
          </cell>
          <cell r="BA59">
            <v>14.78</v>
          </cell>
          <cell r="BB59">
            <v>16.649999999999999</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Program Costs Ext"/>
    </sheetNames>
    <sheetDataSet>
      <sheetData sheetId="0">
        <row r="301">
          <cell r="BH301">
            <v>610042.30999999994</v>
          </cell>
          <cell r="BI301">
            <v>704515.46000000008</v>
          </cell>
          <cell r="BJ301">
            <v>628530.44000000006</v>
          </cell>
          <cell r="BK301">
            <v>655004.84</v>
          </cell>
          <cell r="BL301">
            <v>742400.44</v>
          </cell>
          <cell r="BM301">
            <v>625822.80999999994</v>
          </cell>
          <cell r="BN301">
            <v>529527.04000000004</v>
          </cell>
          <cell r="BO301">
            <v>672203.30999999994</v>
          </cell>
          <cell r="BP301">
            <v>16012.140000000001</v>
          </cell>
          <cell r="BQ301">
            <v>16012.140000000001</v>
          </cell>
          <cell r="BR301">
            <v>16012.140000000001</v>
          </cell>
          <cell r="BS301">
            <v>16012.140000000001</v>
          </cell>
          <cell r="BT301">
            <v>16012.140000000001</v>
          </cell>
          <cell r="BU301">
            <v>16012.140000000001</v>
          </cell>
        </row>
        <row r="302">
          <cell r="BH302">
            <v>89780.57</v>
          </cell>
          <cell r="BI302">
            <v>50654.8</v>
          </cell>
          <cell r="BJ302">
            <v>56617.04</v>
          </cell>
          <cell r="BK302">
            <v>60449.65</v>
          </cell>
          <cell r="BL302">
            <v>69614.73</v>
          </cell>
          <cell r="BM302">
            <v>72714</v>
          </cell>
          <cell r="BN302">
            <v>72900.409999999989</v>
          </cell>
          <cell r="BO302">
            <v>98963.829999999987</v>
          </cell>
          <cell r="BP302">
            <v>2165.19</v>
          </cell>
          <cell r="BQ302">
            <v>2165.19</v>
          </cell>
          <cell r="BR302">
            <v>2165.19</v>
          </cell>
          <cell r="BS302">
            <v>2165.19</v>
          </cell>
          <cell r="BT302">
            <v>2165.19</v>
          </cell>
          <cell r="BU302">
            <v>2165.19</v>
          </cell>
        </row>
        <row r="303">
          <cell r="BH303">
            <v>199669.16</v>
          </cell>
          <cell r="BI303">
            <v>111051.5</v>
          </cell>
          <cell r="BJ303">
            <v>118805.42</v>
          </cell>
          <cell r="BK303">
            <v>126304.09</v>
          </cell>
          <cell r="BL303">
            <v>149090.60999999999</v>
          </cell>
          <cell r="BM303">
            <v>150387.41</v>
          </cell>
          <cell r="BN303">
            <v>150761.42000000001</v>
          </cell>
          <cell r="BO303">
            <v>207462.91</v>
          </cell>
          <cell r="BP303">
            <v>4939.74</v>
          </cell>
          <cell r="BQ303">
            <v>4939.74</v>
          </cell>
          <cell r="BR303">
            <v>4939.74</v>
          </cell>
          <cell r="BS303">
            <v>4939.74</v>
          </cell>
          <cell r="BT303">
            <v>4939.74</v>
          </cell>
          <cell r="BU303">
            <v>4939.74</v>
          </cell>
        </row>
        <row r="304">
          <cell r="BH304">
            <v>325669.34999999998</v>
          </cell>
          <cell r="BI304">
            <v>180538.46</v>
          </cell>
          <cell r="BJ304">
            <v>191154.04</v>
          </cell>
          <cell r="BK304">
            <v>203006.58000000002</v>
          </cell>
          <cell r="BL304">
            <v>241059.21</v>
          </cell>
          <cell r="BM304">
            <v>241109.75000000003</v>
          </cell>
          <cell r="BN304">
            <v>241704.80000000002</v>
          </cell>
          <cell r="BO304">
            <v>333721.55000000005</v>
          </cell>
          <cell r="BP304">
            <v>8102.84</v>
          </cell>
          <cell r="BQ304">
            <v>8102.84</v>
          </cell>
          <cell r="BR304">
            <v>8102.84</v>
          </cell>
          <cell r="BS304">
            <v>8102.84</v>
          </cell>
          <cell r="BT304">
            <v>8102.84</v>
          </cell>
          <cell r="BU304">
            <v>8102.84</v>
          </cell>
        </row>
        <row r="305">
          <cell r="BH305">
            <v>213401.1</v>
          </cell>
          <cell r="BI305">
            <v>109179.99</v>
          </cell>
          <cell r="BJ305">
            <v>84810.55</v>
          </cell>
          <cell r="BK305">
            <v>86745.87000000001</v>
          </cell>
          <cell r="BL305">
            <v>125355.92</v>
          </cell>
          <cell r="BM305">
            <v>93551.76</v>
          </cell>
          <cell r="BN305">
            <v>93710.78</v>
          </cell>
          <cell r="BO305">
            <v>146822.08000000002</v>
          </cell>
          <cell r="BP305">
            <v>6017.630000000001</v>
          </cell>
          <cell r="BQ305">
            <v>6017.630000000001</v>
          </cell>
          <cell r="BR305">
            <v>6017.630000000001</v>
          </cell>
          <cell r="BS305">
            <v>6017.630000000001</v>
          </cell>
          <cell r="BT305">
            <v>6017.630000000001</v>
          </cell>
          <cell r="BU305">
            <v>6017.630000000001</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D116">
            <v>1237690.19</v>
          </cell>
        </row>
        <row r="117">
          <cell r="D117">
            <v>150961.88</v>
          </cell>
        </row>
        <row r="118">
          <cell r="D118">
            <v>302870.92000000004</v>
          </cell>
        </row>
        <row r="119">
          <cell r="D119">
            <v>481870.85</v>
          </cell>
        </row>
        <row r="120">
          <cell r="D120">
            <v>128779.09999999999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Monthly TD Calc"/>
    </sheetNames>
    <sheetDataSet>
      <sheetData sheetId="0"/>
      <sheetData sheetId="1">
        <row r="44">
          <cell r="DC44">
            <v>0.13576441564001979</v>
          </cell>
          <cell r="DD44">
            <v>0.35611574316442379</v>
          </cell>
          <cell r="DE44">
            <v>0.4183185730547726</v>
          </cell>
          <cell r="DF44">
            <v>8.9801268140783777E-2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May 2023 "/>
      <sheetName val="May 2023  new format"/>
      <sheetName val="June 2023"/>
      <sheetName val="July 2023"/>
      <sheetName val="August 2023"/>
      <sheetName val="September 2023"/>
      <sheetName val="October 2023"/>
      <sheetName val="November 2023"/>
      <sheetName val="December 2023"/>
      <sheetName val="January 2024"/>
      <sheetName val="February 2024"/>
      <sheetName val="March 2024"/>
      <sheetName val="April 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43">
          <cell r="G43">
            <v>0.96</v>
          </cell>
        </row>
        <row r="44">
          <cell r="G44">
            <v>0.01</v>
          </cell>
        </row>
        <row r="45">
          <cell r="G45">
            <v>0</v>
          </cell>
        </row>
        <row r="46">
          <cell r="G46">
            <v>0</v>
          </cell>
        </row>
        <row r="47">
          <cell r="G47">
            <v>752.4</v>
          </cell>
        </row>
        <row r="52">
          <cell r="G52">
            <v>-0.96</v>
          </cell>
        </row>
        <row r="53">
          <cell r="G53">
            <v>-0.05</v>
          </cell>
        </row>
        <row r="54">
          <cell r="G54">
            <v>-767.71</v>
          </cell>
        </row>
        <row r="55">
          <cell r="G55">
            <v>0</v>
          </cell>
        </row>
        <row r="56">
          <cell r="G56">
            <v>-38.35</v>
          </cell>
        </row>
        <row r="61">
          <cell r="G61">
            <v>32603.72</v>
          </cell>
        </row>
        <row r="62">
          <cell r="G62">
            <v>5776.08</v>
          </cell>
        </row>
        <row r="63">
          <cell r="G63">
            <v>14125.390000000001</v>
          </cell>
        </row>
        <row r="64">
          <cell r="G64">
            <v>18377.919999999998</v>
          </cell>
        </row>
        <row r="65">
          <cell r="G65">
            <v>4162.16</v>
          </cell>
        </row>
        <row r="70">
          <cell r="G70">
            <v>-7762.32</v>
          </cell>
        </row>
        <row r="71">
          <cell r="G71">
            <v>450.75</v>
          </cell>
        </row>
        <row r="72">
          <cell r="G72">
            <v>4718.6499999999996</v>
          </cell>
        </row>
        <row r="73">
          <cell r="G73">
            <v>3946.64</v>
          </cell>
        </row>
        <row r="74">
          <cell r="G74">
            <v>1595.11</v>
          </cell>
        </row>
        <row r="79">
          <cell r="G79">
            <v>-1552.53</v>
          </cell>
        </row>
        <row r="84">
          <cell r="G84">
            <v>0</v>
          </cell>
        </row>
        <row r="88">
          <cell r="G88">
            <v>240636.01</v>
          </cell>
        </row>
        <row r="89">
          <cell r="G89">
            <v>44999.64</v>
          </cell>
        </row>
        <row r="90">
          <cell r="G90">
            <v>87294.98</v>
          </cell>
        </row>
        <row r="91">
          <cell r="G91">
            <v>143394.6</v>
          </cell>
        </row>
        <row r="92">
          <cell r="G92">
            <v>44663.21</v>
          </cell>
        </row>
        <row r="96">
          <cell r="G96">
            <v>-91587.950000000012</v>
          </cell>
        </row>
        <row r="97">
          <cell r="G97">
            <v>-1784.18</v>
          </cell>
        </row>
        <row r="98">
          <cell r="G98">
            <v>-7864.41</v>
          </cell>
        </row>
        <row r="99">
          <cell r="G99">
            <v>-46044.14</v>
          </cell>
        </row>
        <row r="100">
          <cell r="G100">
            <v>-40675.42</v>
          </cell>
        </row>
        <row r="104">
          <cell r="G104">
            <v>104016.28</v>
          </cell>
        </row>
        <row r="105">
          <cell r="G105">
            <v>14704.77</v>
          </cell>
        </row>
        <row r="106">
          <cell r="G106">
            <v>33816.97</v>
          </cell>
        </row>
        <row r="107">
          <cell r="G107">
            <v>30257.58</v>
          </cell>
        </row>
        <row r="108">
          <cell r="G108">
            <v>1993.89</v>
          </cell>
        </row>
        <row r="112">
          <cell r="G112">
            <v>-18629.009999999998</v>
          </cell>
        </row>
        <row r="113">
          <cell r="G113">
            <v>0</v>
          </cell>
        </row>
        <row r="114">
          <cell r="G114">
            <v>0</v>
          </cell>
        </row>
        <row r="115">
          <cell r="G115">
            <v>0</v>
          </cell>
        </row>
        <row r="116">
          <cell r="G116">
            <v>0</v>
          </cell>
        </row>
        <row r="120">
          <cell r="G120">
            <v>46571.07</v>
          </cell>
        </row>
        <row r="121">
          <cell r="G121">
            <v>5348.08</v>
          </cell>
        </row>
        <row r="122">
          <cell r="G122">
            <v>13369.5</v>
          </cell>
        </row>
        <row r="123">
          <cell r="G123">
            <v>40781.949999999997</v>
          </cell>
        </row>
        <row r="124">
          <cell r="G124">
            <v>5184.12</v>
          </cell>
        </row>
        <row r="145">
          <cell r="G145">
            <v>155241168.3564125</v>
          </cell>
        </row>
        <row r="146">
          <cell r="G146">
            <v>44567265.7064</v>
          </cell>
        </row>
        <row r="147">
          <cell r="G147">
            <v>78644128.894500002</v>
          </cell>
        </row>
        <row r="148">
          <cell r="G148">
            <v>131554682.84800003</v>
          </cell>
        </row>
        <row r="149">
          <cell r="G149">
            <v>39877867.000700004</v>
          </cell>
        </row>
      </sheetData>
      <sheetData sheetId="48">
        <row r="43">
          <cell r="G43">
            <v>0.75</v>
          </cell>
        </row>
        <row r="44">
          <cell r="G44">
            <v>0</v>
          </cell>
        </row>
        <row r="45">
          <cell r="G45">
            <v>0</v>
          </cell>
        </row>
        <row r="46">
          <cell r="G46">
            <v>0</v>
          </cell>
        </row>
        <row r="47">
          <cell r="G47">
            <v>-127.82000000000001</v>
          </cell>
        </row>
        <row r="52">
          <cell r="G52">
            <v>-0.75</v>
          </cell>
        </row>
        <row r="53">
          <cell r="G53">
            <v>0.14000000000000001</v>
          </cell>
        </row>
        <row r="54">
          <cell r="G54">
            <v>-864.51</v>
          </cell>
        </row>
        <row r="55">
          <cell r="G55">
            <v>0</v>
          </cell>
        </row>
        <row r="56">
          <cell r="G56">
            <v>-1.49</v>
          </cell>
        </row>
        <row r="61">
          <cell r="G61">
            <v>42435.78</v>
          </cell>
        </row>
        <row r="62">
          <cell r="G62">
            <v>6727.8</v>
          </cell>
        </row>
        <row r="63">
          <cell r="G63">
            <v>15640.52</v>
          </cell>
        </row>
        <row r="64">
          <cell r="G64">
            <v>20262.189999999999</v>
          </cell>
        </row>
        <row r="65">
          <cell r="G65">
            <v>3996.3700000000003</v>
          </cell>
        </row>
        <row r="70">
          <cell r="G70">
            <v>-10104.030000000001</v>
          </cell>
        </row>
        <row r="71">
          <cell r="G71">
            <v>518.91</v>
          </cell>
        </row>
        <row r="72">
          <cell r="G72">
            <v>5216.03</v>
          </cell>
        </row>
        <row r="73">
          <cell r="G73">
            <v>4344</v>
          </cell>
        </row>
        <row r="74">
          <cell r="G74">
            <v>1596.52</v>
          </cell>
        </row>
        <row r="79">
          <cell r="G79">
            <v>-2021.09</v>
          </cell>
        </row>
        <row r="84">
          <cell r="G84">
            <v>0</v>
          </cell>
        </row>
        <row r="88">
          <cell r="G88">
            <v>313211.28000000003</v>
          </cell>
        </row>
        <row r="89">
          <cell r="G89">
            <v>52302.19</v>
          </cell>
        </row>
        <row r="90">
          <cell r="G90">
            <v>96496.53</v>
          </cell>
        </row>
        <row r="91">
          <cell r="G91">
            <v>157832.01999999999</v>
          </cell>
        </row>
        <row r="92">
          <cell r="G92">
            <v>44702.52</v>
          </cell>
        </row>
        <row r="96">
          <cell r="G96">
            <v>-119199.23</v>
          </cell>
        </row>
        <row r="97">
          <cell r="G97">
            <v>-2076.9899999999998</v>
          </cell>
        </row>
        <row r="98">
          <cell r="G98">
            <v>-8693.3799999999992</v>
          </cell>
        </row>
        <row r="99">
          <cell r="G99">
            <v>-50680.01</v>
          </cell>
        </row>
        <row r="100">
          <cell r="G100">
            <v>-40711.22</v>
          </cell>
        </row>
        <row r="104">
          <cell r="G104">
            <v>135379.26</v>
          </cell>
        </row>
        <row r="105">
          <cell r="G105">
            <v>17087.650000000001</v>
          </cell>
        </row>
        <row r="106">
          <cell r="G106">
            <v>37381.54</v>
          </cell>
        </row>
        <row r="107">
          <cell r="G107">
            <v>33304</v>
          </cell>
        </row>
        <row r="108">
          <cell r="G108">
            <v>1995.65</v>
          </cell>
        </row>
        <row r="112">
          <cell r="G112">
            <v>-24246.54</v>
          </cell>
        </row>
        <row r="113">
          <cell r="G113">
            <v>0</v>
          </cell>
        </row>
        <row r="114">
          <cell r="G114">
            <v>0</v>
          </cell>
        </row>
        <row r="115">
          <cell r="G115">
            <v>0</v>
          </cell>
        </row>
        <row r="116">
          <cell r="G116">
            <v>0</v>
          </cell>
        </row>
        <row r="120">
          <cell r="G120">
            <v>60611.040000000001</v>
          </cell>
        </row>
        <row r="121">
          <cell r="G121">
            <v>6215.26</v>
          </cell>
        </row>
        <row r="122">
          <cell r="G122">
            <v>14778.75</v>
          </cell>
        </row>
        <row r="123">
          <cell r="G123">
            <v>44888</v>
          </cell>
        </row>
        <row r="124">
          <cell r="G124">
            <v>5188.6899999999996</v>
          </cell>
        </row>
        <row r="145">
          <cell r="G145">
            <v>202050419.06756249</v>
          </cell>
        </row>
        <row r="146">
          <cell r="G146">
            <v>51788123.92180001</v>
          </cell>
        </row>
        <row r="147">
          <cell r="G147">
            <v>86933811.091499984</v>
          </cell>
        </row>
        <row r="148">
          <cell r="G148">
            <v>144800014.82299998</v>
          </cell>
        </row>
        <row r="149">
          <cell r="G149">
            <v>39912965.195199996</v>
          </cell>
        </row>
      </sheetData>
      <sheetData sheetId="49">
        <row r="43">
          <cell r="G43">
            <v>11.14</v>
          </cell>
        </row>
        <row r="44">
          <cell r="G44">
            <v>0</v>
          </cell>
        </row>
        <row r="45">
          <cell r="G45">
            <v>0</v>
          </cell>
        </row>
        <row r="46">
          <cell r="G46">
            <v>0</v>
          </cell>
        </row>
        <row r="47">
          <cell r="G47">
            <v>20.879999999999995</v>
          </cell>
        </row>
        <row r="52">
          <cell r="G52">
            <v>-11.139999999999999</v>
          </cell>
        </row>
        <row r="53">
          <cell r="G53">
            <v>-0.61</v>
          </cell>
        </row>
        <row r="54">
          <cell r="G54">
            <v>-964.22</v>
          </cell>
        </row>
        <row r="55">
          <cell r="G55">
            <v>0</v>
          </cell>
        </row>
        <row r="56">
          <cell r="G56">
            <v>-7.19</v>
          </cell>
        </row>
        <row r="61">
          <cell r="G61">
            <v>54100.25</v>
          </cell>
        </row>
        <row r="62">
          <cell r="G62">
            <v>7854.45</v>
          </cell>
        </row>
        <row r="63">
          <cell r="G63">
            <v>17464.98</v>
          </cell>
        </row>
        <row r="64">
          <cell r="G64">
            <v>21950.54</v>
          </cell>
        </row>
        <row r="65">
          <cell r="G65">
            <v>4201.54</v>
          </cell>
        </row>
        <row r="70">
          <cell r="G70">
            <v>-12854.7</v>
          </cell>
        </row>
        <row r="71">
          <cell r="G71">
            <v>598.12</v>
          </cell>
        </row>
        <row r="72">
          <cell r="G72">
            <v>5825.2</v>
          </cell>
        </row>
        <row r="73">
          <cell r="G73">
            <v>4706.54</v>
          </cell>
        </row>
        <row r="74">
          <cell r="G74">
            <v>1668.12</v>
          </cell>
        </row>
        <row r="79">
          <cell r="G79">
            <v>-2573.3000000000002</v>
          </cell>
        </row>
        <row r="84">
          <cell r="G84">
            <v>0</v>
          </cell>
        </row>
        <row r="88">
          <cell r="G88">
            <v>398888.26</v>
          </cell>
        </row>
        <row r="89">
          <cell r="G89">
            <v>61058.68</v>
          </cell>
        </row>
        <row r="90">
          <cell r="G90">
            <v>107766.13</v>
          </cell>
        </row>
        <row r="91">
          <cell r="G91">
            <v>171004.32</v>
          </cell>
        </row>
        <row r="92">
          <cell r="G92">
            <v>46707.28</v>
          </cell>
        </row>
        <row r="96">
          <cell r="G96">
            <v>-151655.79999999999</v>
          </cell>
        </row>
        <row r="97">
          <cell r="G97">
            <v>-2347.52</v>
          </cell>
        </row>
        <row r="98">
          <cell r="G98">
            <v>-9708.66</v>
          </cell>
        </row>
        <row r="99">
          <cell r="G99">
            <v>-54909.65</v>
          </cell>
        </row>
        <row r="100">
          <cell r="G100">
            <v>-42536.99</v>
          </cell>
        </row>
        <row r="104">
          <cell r="G104">
            <v>172444.94</v>
          </cell>
        </row>
        <row r="105">
          <cell r="G105">
            <v>19968.11</v>
          </cell>
        </row>
        <row r="106">
          <cell r="G106">
            <v>41747.24</v>
          </cell>
        </row>
        <row r="107">
          <cell r="G107">
            <v>36083.480000000003</v>
          </cell>
        </row>
        <row r="108">
          <cell r="G108">
            <v>2085.15</v>
          </cell>
        </row>
        <row r="112">
          <cell r="G112">
            <v>-30853.1</v>
          </cell>
        </row>
        <row r="113">
          <cell r="G113">
            <v>0</v>
          </cell>
        </row>
        <row r="114">
          <cell r="G114">
            <v>0</v>
          </cell>
        </row>
        <row r="115">
          <cell r="G115">
            <v>0</v>
          </cell>
        </row>
        <row r="116">
          <cell r="G116">
            <v>0</v>
          </cell>
        </row>
        <row r="120">
          <cell r="G120">
            <v>77129.149999999994</v>
          </cell>
        </row>
        <row r="121">
          <cell r="G121">
            <v>7245.58</v>
          </cell>
        </row>
        <row r="122">
          <cell r="G122">
            <v>16504.72</v>
          </cell>
        </row>
        <row r="123">
          <cell r="G123">
            <v>48634.26</v>
          </cell>
        </row>
        <row r="124">
          <cell r="G124">
            <v>5421.38</v>
          </cell>
        </row>
        <row r="145">
          <cell r="G145">
            <v>257167515.23965001</v>
          </cell>
        </row>
        <row r="146">
          <cell r="G146">
            <v>60441166.459300019</v>
          </cell>
        </row>
        <row r="147">
          <cell r="G147">
            <v>97086604.63699998</v>
          </cell>
        </row>
        <row r="148">
          <cell r="G148">
            <v>156884700.16639999</v>
          </cell>
        </row>
        <row r="149">
          <cell r="G149">
            <v>41702932.816799998</v>
          </cell>
        </row>
      </sheetData>
      <sheetData sheetId="50">
        <row r="43">
          <cell r="G43">
            <v>52.63</v>
          </cell>
        </row>
        <row r="44">
          <cell r="G44">
            <v>-59.29216020203328</v>
          </cell>
        </row>
        <row r="45">
          <cell r="G45">
            <v>0</v>
          </cell>
        </row>
        <row r="46">
          <cell r="G46">
            <v>0</v>
          </cell>
        </row>
        <row r="47">
          <cell r="G47">
            <v>-13115.027839797967</v>
          </cell>
        </row>
        <row r="52">
          <cell r="G52">
            <v>-52.63</v>
          </cell>
        </row>
        <row r="53">
          <cell r="G53">
            <v>1.63</v>
          </cell>
        </row>
        <row r="54">
          <cell r="G54">
            <v>-674.29</v>
          </cell>
        </row>
        <row r="55">
          <cell r="G55">
            <v>0.19</v>
          </cell>
        </row>
        <row r="56">
          <cell r="G56">
            <v>-12.89</v>
          </cell>
        </row>
        <row r="61">
          <cell r="G61">
            <v>43983.24</v>
          </cell>
        </row>
        <row r="62">
          <cell r="G62">
            <v>6197.7800000000007</v>
          </cell>
        </row>
        <row r="63">
          <cell r="G63">
            <v>14689.84</v>
          </cell>
        </row>
        <row r="64">
          <cell r="G64">
            <v>18102.05</v>
          </cell>
        </row>
        <row r="65">
          <cell r="G65">
            <v>3064.91</v>
          </cell>
        </row>
        <row r="70">
          <cell r="G70">
            <v>-11641.98</v>
          </cell>
        </row>
        <row r="71">
          <cell r="G71">
            <v>196.97</v>
          </cell>
        </row>
        <row r="72">
          <cell r="G72">
            <v>4630.22</v>
          </cell>
        </row>
        <row r="73">
          <cell r="G73">
            <v>4130.92</v>
          </cell>
        </row>
        <row r="74">
          <cell r="G74">
            <v>1217.19</v>
          </cell>
        </row>
        <row r="79">
          <cell r="G79">
            <v>-2476.9</v>
          </cell>
        </row>
        <row r="84">
          <cell r="G84">
            <v>0</v>
          </cell>
        </row>
        <row r="88">
          <cell r="G88">
            <v>460798.28</v>
          </cell>
        </row>
        <row r="89">
          <cell r="G89">
            <v>60411.82</v>
          </cell>
        </row>
        <row r="90">
          <cell r="G90">
            <v>121706.4</v>
          </cell>
        </row>
        <row r="91">
          <cell r="G91">
            <v>197097.86</v>
          </cell>
        </row>
        <row r="92">
          <cell r="G92">
            <v>41820.42</v>
          </cell>
        </row>
        <row r="96">
          <cell r="G96">
            <v>-96618.43</v>
          </cell>
        </row>
        <row r="97">
          <cell r="G97">
            <v>1025.9421602020334</v>
          </cell>
        </row>
        <row r="98">
          <cell r="G98">
            <v>10412.5</v>
          </cell>
        </row>
        <row r="99">
          <cell r="G99">
            <v>-21387.41</v>
          </cell>
        </row>
        <row r="100">
          <cell r="G100">
            <v>-10782.502160202033</v>
          </cell>
        </row>
        <row r="104">
          <cell r="G104">
            <v>165062.06</v>
          </cell>
        </row>
        <row r="105">
          <cell r="G105">
            <v>20421.07</v>
          </cell>
        </row>
        <row r="106">
          <cell r="G106">
            <v>43174.6</v>
          </cell>
        </row>
        <row r="107">
          <cell r="G107">
            <v>38558.1</v>
          </cell>
        </row>
        <row r="108">
          <cell r="G108">
            <v>2466.65</v>
          </cell>
        </row>
        <row r="112">
          <cell r="G112">
            <v>-23915.93</v>
          </cell>
        </row>
        <row r="113">
          <cell r="G113">
            <v>0</v>
          </cell>
        </row>
        <row r="114">
          <cell r="G114">
            <v>0</v>
          </cell>
        </row>
        <row r="115">
          <cell r="G115">
            <v>0</v>
          </cell>
        </row>
        <row r="116">
          <cell r="G116">
            <v>0</v>
          </cell>
        </row>
        <row r="120">
          <cell r="G120">
            <v>90280.81</v>
          </cell>
        </row>
        <row r="121">
          <cell r="G121">
            <v>10296.36</v>
          </cell>
        </row>
        <row r="122">
          <cell r="G122">
            <v>20570.609999999997</v>
          </cell>
        </row>
        <row r="123">
          <cell r="G123">
            <v>52435.44</v>
          </cell>
        </row>
        <row r="124">
          <cell r="G124">
            <v>6791.19</v>
          </cell>
        </row>
        <row r="145">
          <cell r="G145">
            <v>247652473.08416262</v>
          </cell>
        </row>
        <row r="146">
          <cell r="G146">
            <v>57527078.69380001</v>
          </cell>
        </row>
        <row r="147">
          <cell r="G147">
            <v>95284044.212800011</v>
          </cell>
        </row>
        <row r="148">
          <cell r="G148">
            <v>154531222.60309997</v>
          </cell>
        </row>
        <row r="149">
          <cell r="G149">
            <v>39026709.45700001</v>
          </cell>
        </row>
      </sheetData>
      <sheetData sheetId="51">
        <row r="43">
          <cell r="G43">
            <v>-10.030000000000001</v>
          </cell>
        </row>
        <row r="44">
          <cell r="G44">
            <v>0</v>
          </cell>
        </row>
        <row r="45">
          <cell r="G45">
            <v>0</v>
          </cell>
        </row>
        <row r="46">
          <cell r="G46">
            <v>0</v>
          </cell>
        </row>
        <row r="47">
          <cell r="G47">
            <v>5.6899999999999693</v>
          </cell>
        </row>
        <row r="52">
          <cell r="G52">
            <v>10.030000000000001</v>
          </cell>
        </row>
        <row r="53">
          <cell r="G53">
            <v>-0.10999999999999999</v>
          </cell>
        </row>
        <row r="54">
          <cell r="G54">
            <v>-1.62</v>
          </cell>
        </row>
        <row r="55">
          <cell r="G55">
            <v>-3.3499999999999996</v>
          </cell>
        </row>
        <row r="56">
          <cell r="G56">
            <v>-0.60999999999999988</v>
          </cell>
        </row>
        <row r="61">
          <cell r="G61">
            <v>17206.420000000002</v>
          </cell>
        </row>
        <row r="62">
          <cell r="G62">
            <v>2884.3999999999996</v>
          </cell>
        </row>
        <row r="63">
          <cell r="G63">
            <v>7210.16</v>
          </cell>
        </row>
        <row r="64">
          <cell r="G64">
            <v>10064.67</v>
          </cell>
        </row>
        <row r="65">
          <cell r="G65">
            <v>1795.31</v>
          </cell>
        </row>
        <row r="70">
          <cell r="G70">
            <v>-6863.45</v>
          </cell>
        </row>
        <row r="71">
          <cell r="G71">
            <v>-474.16</v>
          </cell>
        </row>
        <row r="72">
          <cell r="G72">
            <v>1613.64</v>
          </cell>
        </row>
        <row r="73">
          <cell r="G73">
            <v>2887.2999999999997</v>
          </cell>
        </row>
        <row r="74">
          <cell r="G74">
            <v>716.66</v>
          </cell>
        </row>
        <row r="79">
          <cell r="G79">
            <v>-1712.5</v>
          </cell>
        </row>
        <row r="84">
          <cell r="G84">
            <v>0</v>
          </cell>
        </row>
        <row r="88">
          <cell r="G88">
            <v>445952.62</v>
          </cell>
        </row>
        <row r="89">
          <cell r="G89">
            <v>54464.3</v>
          </cell>
        </row>
        <row r="90">
          <cell r="G90">
            <v>134740.31</v>
          </cell>
        </row>
        <row r="91">
          <cell r="G91">
            <v>234216.3</v>
          </cell>
        </row>
        <row r="92">
          <cell r="G92">
            <v>36078.769999999997</v>
          </cell>
        </row>
        <row r="96">
          <cell r="G96">
            <v>14767.849999999999</v>
          </cell>
        </row>
        <row r="97">
          <cell r="G97">
            <v>6656</v>
          </cell>
        </row>
        <row r="98">
          <cell r="G98">
            <v>50026.63</v>
          </cell>
        </row>
        <row r="99">
          <cell r="G99">
            <v>40951.590000000004</v>
          </cell>
        </row>
        <row r="100">
          <cell r="G100">
            <v>-3908.39</v>
          </cell>
        </row>
        <row r="104">
          <cell r="G104">
            <v>113014.3</v>
          </cell>
        </row>
        <row r="105">
          <cell r="G105">
            <v>19582.5</v>
          </cell>
        </row>
        <row r="106">
          <cell r="G106">
            <v>40693.79</v>
          </cell>
        </row>
        <row r="107">
          <cell r="G107">
            <v>40998.49</v>
          </cell>
        </row>
        <row r="108">
          <cell r="G108">
            <v>2852.89</v>
          </cell>
        </row>
        <row r="112">
          <cell r="G112">
            <v>-6924.89</v>
          </cell>
        </row>
        <row r="113">
          <cell r="G113">
            <v>0</v>
          </cell>
        </row>
        <row r="114">
          <cell r="G114">
            <v>0</v>
          </cell>
        </row>
        <row r="115">
          <cell r="G115">
            <v>0</v>
          </cell>
        </row>
        <row r="116">
          <cell r="G116">
            <v>0</v>
          </cell>
        </row>
        <row r="120">
          <cell r="G120">
            <v>88851.7</v>
          </cell>
        </row>
        <row r="121">
          <cell r="G121">
            <v>14766.12</v>
          </cell>
        </row>
        <row r="122">
          <cell r="G122">
            <v>26288.3</v>
          </cell>
        </row>
        <row r="123">
          <cell r="G123">
            <v>56267.01</v>
          </cell>
        </row>
        <row r="124">
          <cell r="G124">
            <v>8200.33</v>
          </cell>
        </row>
        <row r="145">
          <cell r="G145">
            <v>171250990.72272497</v>
          </cell>
        </row>
        <row r="146">
          <cell r="G146">
            <v>47802395.452800006</v>
          </cell>
        </row>
        <row r="147">
          <cell r="G147">
            <v>79842023.754800022</v>
          </cell>
        </row>
        <row r="148">
          <cell r="G148">
            <v>141517589.9102</v>
          </cell>
        </row>
        <row r="149">
          <cell r="G149">
            <v>35707943.593199998</v>
          </cell>
        </row>
      </sheetData>
      <sheetData sheetId="52">
        <row r="43">
          <cell r="G43">
            <v>-56.42</v>
          </cell>
        </row>
        <row r="44">
          <cell r="G44">
            <v>0</v>
          </cell>
        </row>
        <row r="45">
          <cell r="G45">
            <v>0</v>
          </cell>
        </row>
        <row r="46">
          <cell r="G46">
            <v>0</v>
          </cell>
        </row>
        <row r="47">
          <cell r="G47">
            <v>-1.8200000000000003</v>
          </cell>
        </row>
        <row r="52">
          <cell r="G52">
            <v>56.419999999999995</v>
          </cell>
        </row>
        <row r="53">
          <cell r="G53">
            <v>-1.0000000000000002E-2</v>
          </cell>
        </row>
        <row r="54">
          <cell r="G54">
            <v>-9.9999999999999978E-2</v>
          </cell>
        </row>
        <row r="55">
          <cell r="G55">
            <v>0</v>
          </cell>
        </row>
        <row r="56">
          <cell r="G56">
            <v>1.9300000000000004</v>
          </cell>
        </row>
        <row r="61">
          <cell r="G61">
            <v>15630.76</v>
          </cell>
        </row>
        <row r="62">
          <cell r="G62">
            <v>2710.1699999999996</v>
          </cell>
        </row>
        <row r="63">
          <cell r="G63">
            <v>6847.4299999999994</v>
          </cell>
        </row>
        <row r="64">
          <cell r="G64">
            <v>9443.5</v>
          </cell>
        </row>
        <row r="65">
          <cell r="G65">
            <v>1800.0500000000002</v>
          </cell>
        </row>
        <row r="70">
          <cell r="G70">
            <v>-6298.7300000000005</v>
          </cell>
        </row>
        <row r="71">
          <cell r="G71">
            <v>-450.47</v>
          </cell>
        </row>
        <row r="72">
          <cell r="G72">
            <v>1521.88</v>
          </cell>
        </row>
        <row r="73">
          <cell r="G73">
            <v>2702.43</v>
          </cell>
        </row>
        <row r="74">
          <cell r="G74">
            <v>710.85</v>
          </cell>
        </row>
        <row r="79">
          <cell r="G79">
            <v>-1571.39</v>
          </cell>
        </row>
        <row r="84">
          <cell r="G84">
            <v>0</v>
          </cell>
        </row>
        <row r="88">
          <cell r="G88">
            <v>410059.01</v>
          </cell>
        </row>
        <row r="89">
          <cell r="G89">
            <v>51532.23</v>
          </cell>
        </row>
        <row r="90">
          <cell r="G90">
            <v>128918.15999999999</v>
          </cell>
        </row>
        <row r="91">
          <cell r="G91">
            <v>224307.07</v>
          </cell>
        </row>
        <row r="92">
          <cell r="G92">
            <v>35898.57</v>
          </cell>
        </row>
        <row r="96">
          <cell r="G96">
            <v>14077.33</v>
          </cell>
        </row>
        <row r="97">
          <cell r="G97">
            <v>6323.8399999999992</v>
          </cell>
        </row>
        <row r="98">
          <cell r="G98">
            <v>48073.85</v>
          </cell>
        </row>
        <row r="99">
          <cell r="G99">
            <v>40538.870000000003</v>
          </cell>
        </row>
        <row r="100">
          <cell r="G100">
            <v>-3610.83</v>
          </cell>
        </row>
        <row r="104">
          <cell r="G104">
            <v>103659.07</v>
          </cell>
        </row>
        <row r="105">
          <cell r="G105">
            <v>18533.79</v>
          </cell>
        </row>
        <row r="106">
          <cell r="G106">
            <v>38906.71</v>
          </cell>
        </row>
        <row r="107">
          <cell r="G107">
            <v>39186.07</v>
          </cell>
        </row>
        <row r="108">
          <cell r="G108">
            <v>2843.45</v>
          </cell>
        </row>
        <row r="112">
          <cell r="G112">
            <v>-6286.39</v>
          </cell>
        </row>
        <row r="113">
          <cell r="G113">
            <v>0</v>
          </cell>
        </row>
        <row r="114">
          <cell r="G114">
            <v>0</v>
          </cell>
        </row>
        <row r="115">
          <cell r="G115">
            <v>0</v>
          </cell>
        </row>
        <row r="116">
          <cell r="G116">
            <v>0</v>
          </cell>
        </row>
        <row r="120">
          <cell r="G120">
            <v>81720.53</v>
          </cell>
        </row>
        <row r="121">
          <cell r="G121">
            <v>14006.57</v>
          </cell>
        </row>
        <row r="122">
          <cell r="G122">
            <v>25176.81</v>
          </cell>
        </row>
        <row r="123">
          <cell r="G123">
            <v>54049.77</v>
          </cell>
        </row>
        <row r="124">
          <cell r="G124">
            <v>8174.92</v>
          </cell>
        </row>
        <row r="145">
          <cell r="G145">
            <v>157128474.25852495</v>
          </cell>
        </row>
        <row r="146">
          <cell r="G146">
            <v>45212580.2443</v>
          </cell>
        </row>
        <row r="147">
          <cell r="G147">
            <v>76287525.173500001</v>
          </cell>
        </row>
        <row r="148">
          <cell r="G148">
            <v>135123825.48190001</v>
          </cell>
        </row>
        <row r="149">
          <cell r="G149">
            <v>35543138.8156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ro ST Rate Apr 2024"/>
      <sheetName val="Metro ST Rate Mar 2024"/>
      <sheetName val="Metro ST Rate Feb 2024"/>
      <sheetName val="Metro ST Rate Jan 2024"/>
      <sheetName val="Metro ST Rate Dec 2023"/>
      <sheetName val="Metro ST Rate Nov 2023"/>
    </sheetNames>
    <sheetDataSet>
      <sheetData sheetId="0">
        <row r="43">
          <cell r="E43">
            <v>5.45277E-3</v>
          </cell>
        </row>
      </sheetData>
      <sheetData sheetId="1">
        <row r="43">
          <cell r="E43">
            <v>5.4582900000000002E-3</v>
          </cell>
        </row>
      </sheetData>
      <sheetData sheetId="2">
        <row r="41">
          <cell r="E41">
            <v>5.4552200000000002E-3</v>
          </cell>
        </row>
      </sheetData>
      <sheetData sheetId="3">
        <row r="43">
          <cell r="E43">
            <v>5.4684599999999996E-3</v>
          </cell>
        </row>
      </sheetData>
      <sheetData sheetId="4">
        <row r="43">
          <cell r="E43">
            <v>5.4837899999999997E-3</v>
          </cell>
        </row>
      </sheetData>
      <sheetData sheetId="5">
        <row r="42">
          <cell r="E42">
            <v>5.3602700000000003E-3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112023 12072023"/>
      <sheetName val="Input"/>
      <sheetName val="Program Descriptions"/>
    </sheetNames>
    <sheetDataSet>
      <sheetData sheetId="0">
        <row r="42">
          <cell r="N42">
            <v>884721.28</v>
          </cell>
          <cell r="O42">
            <v>61726.93</v>
          </cell>
          <cell r="P42">
            <v>-44786.990000000005</v>
          </cell>
          <cell r="Q42">
            <v>729489.37</v>
          </cell>
          <cell r="R42">
            <v>126099.14999999979</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122023 01082024"/>
      <sheetName val="Input"/>
      <sheetName val="Program Descriptions"/>
    </sheetNames>
    <sheetDataSet>
      <sheetData sheetId="0">
        <row r="27">
          <cell r="N27">
            <v>1359824.65</v>
          </cell>
          <cell r="O27">
            <v>62938.399999999994</v>
          </cell>
          <cell r="P27">
            <v>1455962.23</v>
          </cell>
          <cell r="Q27">
            <v>288455.45</v>
          </cell>
          <cell r="R27">
            <v>18733.79</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406971.64</v>
          </cell>
          <cell r="O27">
            <v>85554.78</v>
          </cell>
          <cell r="P27">
            <v>383998.52999999997</v>
          </cell>
          <cell r="Q27">
            <v>105206.65000000001</v>
          </cell>
          <cell r="R27">
            <v>49989.780000000057</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228830.52000000002</v>
          </cell>
          <cell r="O27">
            <v>11351.3</v>
          </cell>
          <cell r="P27">
            <v>22773.809999999998</v>
          </cell>
          <cell r="Q27">
            <v>36233.369999999995</v>
          </cell>
          <cell r="R27">
            <v>9683.2799999999352</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dimension ref="A1:F73"/>
  <sheetViews>
    <sheetView workbookViewId="0">
      <pane xSplit="1" ySplit="4" topLeftCell="B5" activePane="bottomRight" state="frozen"/>
      <selection activeCell="E2" sqref="E2"/>
      <selection pane="topRight" activeCell="E2" sqref="E2"/>
      <selection pane="bottomLeft" activeCell="E2" sqref="E2"/>
      <selection pane="bottomRight" activeCell="E2" sqref="E2"/>
    </sheetView>
  </sheetViews>
  <sheetFormatPr defaultRowHeight="14.5" x14ac:dyDescent="0.35"/>
  <cols>
    <col min="1" max="1" width="17" style="3" bestFit="1" customWidth="1"/>
    <col min="2" max="2" width="62.26953125" style="290" customWidth="1"/>
    <col min="3" max="3" width="62.1796875" style="290" customWidth="1"/>
    <col min="6" max="6" width="29.7265625" customWidth="1"/>
  </cols>
  <sheetData>
    <row r="1" spans="1:6" x14ac:dyDescent="0.35">
      <c r="A1" s="3" t="str">
        <f>+'PPC Cycle 3'!A1</f>
        <v>Evergy Metro, Inc. - DSIM Rider Update Filed 06/01/2024</v>
      </c>
    </row>
    <row r="4" spans="1:6" s="3" customFormat="1" x14ac:dyDescent="0.35">
      <c r="A4" s="294" t="s">
        <v>188</v>
      </c>
      <c r="B4" s="295" t="s">
        <v>190</v>
      </c>
      <c r="C4" s="295" t="s">
        <v>191</v>
      </c>
    </row>
    <row r="5" spans="1:6" s="291" customFormat="1" ht="29" x14ac:dyDescent="0.35">
      <c r="A5" s="296" t="s">
        <v>189</v>
      </c>
      <c r="B5" s="339" t="s">
        <v>254</v>
      </c>
      <c r="C5" s="339" t="s">
        <v>192</v>
      </c>
    </row>
    <row r="6" spans="1:6" s="291" customFormat="1" ht="29" x14ac:dyDescent="0.35">
      <c r="A6" s="296" t="s">
        <v>193</v>
      </c>
      <c r="B6" s="339" t="s">
        <v>194</v>
      </c>
      <c r="C6" s="339" t="s">
        <v>195</v>
      </c>
    </row>
    <row r="7" spans="1:6" s="291" customFormat="1" ht="87" x14ac:dyDescent="0.35">
      <c r="A7" s="296" t="s">
        <v>196</v>
      </c>
      <c r="B7" s="339" t="s">
        <v>307</v>
      </c>
      <c r="C7" s="339" t="s">
        <v>255</v>
      </c>
    </row>
    <row r="8" spans="1:6" s="291" customFormat="1" ht="72.5" x14ac:dyDescent="0.35">
      <c r="A8" s="296" t="s">
        <v>197</v>
      </c>
      <c r="B8" s="339" t="s">
        <v>256</v>
      </c>
      <c r="C8" s="339" t="s">
        <v>203</v>
      </c>
    </row>
    <row r="9" spans="1:6" s="291" customFormat="1" ht="130.5" x14ac:dyDescent="0.35">
      <c r="A9" s="296" t="s">
        <v>198</v>
      </c>
      <c r="B9" s="339" t="s">
        <v>257</v>
      </c>
      <c r="C9" s="339" t="s">
        <v>204</v>
      </c>
    </row>
    <row r="10" spans="1:6" s="291" customFormat="1" ht="130.5" x14ac:dyDescent="0.35">
      <c r="A10" s="296" t="s">
        <v>252</v>
      </c>
      <c r="B10" s="339" t="s">
        <v>253</v>
      </c>
      <c r="C10" s="339" t="s">
        <v>204</v>
      </c>
    </row>
    <row r="11" spans="1:6" s="291" customFormat="1" ht="43.5" x14ac:dyDescent="0.35">
      <c r="A11" s="296" t="s">
        <v>199</v>
      </c>
      <c r="B11" s="339" t="s">
        <v>263</v>
      </c>
      <c r="C11" s="339" t="s">
        <v>272</v>
      </c>
    </row>
    <row r="12" spans="1:6" s="291" customFormat="1" ht="72.5" x14ac:dyDescent="0.35">
      <c r="A12" s="296" t="s">
        <v>200</v>
      </c>
      <c r="B12" s="339" t="s">
        <v>264</v>
      </c>
      <c r="C12" s="339" t="s">
        <v>271</v>
      </c>
    </row>
    <row r="13" spans="1:6" s="291" customFormat="1" ht="204.75" customHeight="1" x14ac:dyDescent="0.35">
      <c r="A13" s="296" t="s">
        <v>201</v>
      </c>
      <c r="B13" s="339" t="s">
        <v>236</v>
      </c>
      <c r="C13" s="339" t="s">
        <v>217</v>
      </c>
      <c r="F13" s="304"/>
    </row>
    <row r="14" spans="1:6" s="291" customFormat="1" ht="238.5" customHeight="1" x14ac:dyDescent="0.35">
      <c r="A14" s="296" t="s">
        <v>202</v>
      </c>
      <c r="B14" s="339" t="s">
        <v>258</v>
      </c>
      <c r="C14" s="339" t="s">
        <v>216</v>
      </c>
    </row>
    <row r="15" spans="1:6" s="291" customFormat="1" ht="220.5" customHeight="1" x14ac:dyDescent="0.35">
      <c r="A15" s="296" t="s">
        <v>205</v>
      </c>
      <c r="B15" s="339" t="s">
        <v>265</v>
      </c>
      <c r="C15" s="339" t="s">
        <v>220</v>
      </c>
    </row>
    <row r="16" spans="1:6" s="291" customFormat="1" ht="200.5" customHeight="1" x14ac:dyDescent="0.35">
      <c r="A16" s="296" t="s">
        <v>206</v>
      </c>
      <c r="B16" s="339" t="s">
        <v>266</v>
      </c>
      <c r="C16" s="339" t="s">
        <v>273</v>
      </c>
    </row>
    <row r="17" spans="1:3" s="291" customFormat="1" ht="111" customHeight="1" x14ac:dyDescent="0.35">
      <c r="A17" s="296" t="s">
        <v>207</v>
      </c>
      <c r="B17" s="339" t="s">
        <v>259</v>
      </c>
      <c r="C17" s="339" t="s">
        <v>218</v>
      </c>
    </row>
    <row r="18" spans="1:3" s="291" customFormat="1" ht="107.25" customHeight="1" x14ac:dyDescent="0.35">
      <c r="A18" s="296" t="s">
        <v>208</v>
      </c>
      <c r="B18" s="339" t="s">
        <v>260</v>
      </c>
      <c r="C18" s="339" t="s">
        <v>219</v>
      </c>
    </row>
    <row r="19" spans="1:3" s="291" customFormat="1" ht="34.5" customHeight="1" x14ac:dyDescent="0.35">
      <c r="A19" s="296" t="s">
        <v>209</v>
      </c>
      <c r="B19" s="339" t="s">
        <v>267</v>
      </c>
      <c r="C19" s="339" t="s">
        <v>268</v>
      </c>
    </row>
    <row r="20" spans="1:3" s="291" customFormat="1" ht="34.5" customHeight="1" x14ac:dyDescent="0.35">
      <c r="A20" s="296" t="s">
        <v>210</v>
      </c>
      <c r="B20" s="339" t="s">
        <v>269</v>
      </c>
      <c r="C20" s="339" t="s">
        <v>270</v>
      </c>
    </row>
    <row r="21" spans="1:3" s="291" customFormat="1" ht="78.75" customHeight="1" x14ac:dyDescent="0.35">
      <c r="A21" s="296" t="s">
        <v>211</v>
      </c>
      <c r="B21" s="339" t="s">
        <v>261</v>
      </c>
      <c r="C21" s="339" t="s">
        <v>213</v>
      </c>
    </row>
    <row r="22" spans="1:3" s="291" customFormat="1" ht="72.5" x14ac:dyDescent="0.35">
      <c r="A22" s="296" t="s">
        <v>212</v>
      </c>
      <c r="B22" s="339" t="s">
        <v>262</v>
      </c>
      <c r="C22" s="339" t="s">
        <v>213</v>
      </c>
    </row>
    <row r="23" spans="1:3" s="291" customFormat="1" x14ac:dyDescent="0.35">
      <c r="A23" s="293"/>
      <c r="B23" s="292"/>
      <c r="C23" s="292"/>
    </row>
    <row r="24" spans="1:3" s="291" customFormat="1" x14ac:dyDescent="0.35">
      <c r="A24" s="293"/>
      <c r="B24" s="292"/>
      <c r="C24" s="292"/>
    </row>
    <row r="25" spans="1:3" s="291" customFormat="1" x14ac:dyDescent="0.35">
      <c r="A25" s="293"/>
      <c r="B25" s="292"/>
      <c r="C25" s="292"/>
    </row>
    <row r="26" spans="1:3" s="291" customFormat="1" x14ac:dyDescent="0.35">
      <c r="A26" s="293"/>
      <c r="B26" s="292"/>
      <c r="C26" s="292"/>
    </row>
    <row r="27" spans="1:3" s="291" customFormat="1" x14ac:dyDescent="0.35">
      <c r="A27" s="293"/>
      <c r="B27" s="292"/>
      <c r="C27" s="292"/>
    </row>
    <row r="28" spans="1:3" s="291" customFormat="1" x14ac:dyDescent="0.35">
      <c r="A28" s="293"/>
      <c r="B28" s="292"/>
      <c r="C28" s="292"/>
    </row>
    <row r="29" spans="1:3" s="291" customFormat="1" x14ac:dyDescent="0.35">
      <c r="A29" s="293"/>
      <c r="B29" s="292"/>
      <c r="C29" s="292"/>
    </row>
    <row r="30" spans="1:3" s="291" customFormat="1" x14ac:dyDescent="0.35">
      <c r="A30" s="293"/>
      <c r="B30" s="292"/>
      <c r="C30" s="292"/>
    </row>
    <row r="31" spans="1:3" s="291" customFormat="1" x14ac:dyDescent="0.35">
      <c r="A31" s="293"/>
      <c r="B31" s="292"/>
      <c r="C31" s="292"/>
    </row>
    <row r="32" spans="1:3" s="291" customFormat="1" x14ac:dyDescent="0.35">
      <c r="A32" s="293"/>
      <c r="B32" s="292"/>
      <c r="C32" s="292"/>
    </row>
    <row r="33" spans="1:3" s="291" customFormat="1" x14ac:dyDescent="0.35">
      <c r="A33" s="293"/>
      <c r="B33" s="292"/>
      <c r="C33" s="292"/>
    </row>
    <row r="34" spans="1:3" s="291" customFormat="1" x14ac:dyDescent="0.35">
      <c r="A34" s="293"/>
      <c r="B34" s="292"/>
      <c r="C34" s="292"/>
    </row>
    <row r="35" spans="1:3" s="291" customFormat="1" x14ac:dyDescent="0.35">
      <c r="A35" s="293"/>
      <c r="B35" s="292"/>
      <c r="C35" s="292"/>
    </row>
    <row r="36" spans="1:3" s="291" customFormat="1" x14ac:dyDescent="0.35">
      <c r="A36" s="293"/>
      <c r="B36" s="292"/>
      <c r="C36" s="292"/>
    </row>
    <row r="37" spans="1:3" s="291" customFormat="1" x14ac:dyDescent="0.35">
      <c r="A37" s="293"/>
      <c r="B37" s="292"/>
      <c r="C37" s="292"/>
    </row>
    <row r="38" spans="1:3" s="291" customFormat="1" x14ac:dyDescent="0.35">
      <c r="A38" s="293"/>
      <c r="B38" s="292"/>
      <c r="C38" s="292"/>
    </row>
    <row r="39" spans="1:3" s="291" customFormat="1" x14ac:dyDescent="0.35">
      <c r="A39" s="293"/>
      <c r="B39" s="292"/>
      <c r="C39" s="292"/>
    </row>
    <row r="40" spans="1:3" s="291" customFormat="1" x14ac:dyDescent="0.35">
      <c r="A40" s="293"/>
      <c r="B40" s="292"/>
      <c r="C40" s="292"/>
    </row>
    <row r="41" spans="1:3" s="291" customFormat="1" x14ac:dyDescent="0.35">
      <c r="A41" s="293"/>
      <c r="B41" s="292"/>
      <c r="C41" s="292"/>
    </row>
    <row r="42" spans="1:3" s="291" customFormat="1" x14ac:dyDescent="0.35">
      <c r="A42" s="293"/>
      <c r="B42" s="292"/>
      <c r="C42" s="292"/>
    </row>
    <row r="43" spans="1:3" s="291" customFormat="1" x14ac:dyDescent="0.35">
      <c r="A43" s="293"/>
      <c r="B43" s="292"/>
      <c r="C43" s="292"/>
    </row>
    <row r="44" spans="1:3" s="291" customFormat="1" x14ac:dyDescent="0.35">
      <c r="A44" s="293"/>
      <c r="B44" s="292"/>
      <c r="C44" s="292"/>
    </row>
    <row r="45" spans="1:3" s="291" customFormat="1" x14ac:dyDescent="0.35">
      <c r="A45" s="293"/>
      <c r="B45" s="292"/>
      <c r="C45" s="292"/>
    </row>
    <row r="46" spans="1:3" s="291" customFormat="1" x14ac:dyDescent="0.35">
      <c r="A46" s="293"/>
      <c r="B46" s="292"/>
      <c r="C46" s="292"/>
    </row>
    <row r="47" spans="1:3" s="291" customFormat="1" x14ac:dyDescent="0.35">
      <c r="A47" s="293"/>
      <c r="B47" s="292"/>
      <c r="C47" s="292"/>
    </row>
    <row r="48" spans="1:3" s="291" customFormat="1" x14ac:dyDescent="0.35">
      <c r="A48" s="293"/>
      <c r="B48" s="292"/>
      <c r="C48" s="292"/>
    </row>
    <row r="49" spans="1:3" s="291" customFormat="1" x14ac:dyDescent="0.35">
      <c r="A49" s="293"/>
      <c r="B49" s="292"/>
      <c r="C49" s="292"/>
    </row>
    <row r="50" spans="1:3" s="291" customFormat="1" x14ac:dyDescent="0.35">
      <c r="A50" s="293"/>
      <c r="B50" s="292"/>
      <c r="C50" s="292"/>
    </row>
    <row r="51" spans="1:3" s="291" customFormat="1" x14ac:dyDescent="0.35">
      <c r="A51" s="293"/>
      <c r="B51" s="292"/>
      <c r="C51" s="292"/>
    </row>
    <row r="52" spans="1:3" s="291" customFormat="1" x14ac:dyDescent="0.35">
      <c r="A52" s="293"/>
      <c r="B52" s="292"/>
      <c r="C52" s="292"/>
    </row>
    <row r="53" spans="1:3" s="291" customFormat="1" x14ac:dyDescent="0.35">
      <c r="A53" s="293"/>
      <c r="B53" s="292"/>
      <c r="C53" s="292"/>
    </row>
    <row r="54" spans="1:3" s="291" customFormat="1" x14ac:dyDescent="0.35">
      <c r="A54" s="293"/>
      <c r="B54" s="292"/>
      <c r="C54" s="292"/>
    </row>
    <row r="55" spans="1:3" s="291" customFormat="1" x14ac:dyDescent="0.35">
      <c r="A55" s="293"/>
      <c r="B55" s="292"/>
      <c r="C55" s="292"/>
    </row>
    <row r="56" spans="1:3" s="291" customFormat="1" x14ac:dyDescent="0.35">
      <c r="A56" s="293"/>
      <c r="B56" s="292"/>
      <c r="C56" s="292"/>
    </row>
    <row r="57" spans="1:3" s="291" customFormat="1" x14ac:dyDescent="0.35">
      <c r="A57" s="293"/>
      <c r="B57" s="292"/>
      <c r="C57" s="292"/>
    </row>
    <row r="58" spans="1:3" s="291" customFormat="1" x14ac:dyDescent="0.35">
      <c r="A58" s="293"/>
      <c r="B58" s="292"/>
      <c r="C58" s="292"/>
    </row>
    <row r="59" spans="1:3" s="291" customFormat="1" x14ac:dyDescent="0.35">
      <c r="A59" s="293"/>
      <c r="B59" s="292"/>
      <c r="C59" s="292"/>
    </row>
    <row r="60" spans="1:3" s="291" customFormat="1" x14ac:dyDescent="0.35">
      <c r="A60" s="293"/>
      <c r="B60" s="292"/>
      <c r="C60" s="292"/>
    </row>
    <row r="61" spans="1:3" s="291" customFormat="1" x14ac:dyDescent="0.35">
      <c r="A61" s="293"/>
      <c r="B61" s="292"/>
      <c r="C61" s="292"/>
    </row>
    <row r="62" spans="1:3" s="291" customFormat="1" x14ac:dyDescent="0.35">
      <c r="A62" s="293"/>
      <c r="B62" s="292"/>
      <c r="C62" s="292"/>
    </row>
    <row r="63" spans="1:3" s="291" customFormat="1" x14ac:dyDescent="0.35">
      <c r="A63" s="293"/>
      <c r="B63" s="292"/>
      <c r="C63" s="292"/>
    </row>
    <row r="64" spans="1:3" s="291" customFormat="1" x14ac:dyDescent="0.35">
      <c r="A64" s="293"/>
      <c r="B64" s="292"/>
      <c r="C64" s="292"/>
    </row>
    <row r="65" spans="1:3" s="291" customFormat="1" x14ac:dyDescent="0.35">
      <c r="A65" s="293"/>
      <c r="B65" s="292"/>
      <c r="C65" s="292"/>
    </row>
    <row r="66" spans="1:3" s="291" customFormat="1" x14ac:dyDescent="0.35">
      <c r="A66" s="293"/>
      <c r="B66" s="292"/>
      <c r="C66" s="292"/>
    </row>
    <row r="67" spans="1:3" s="291" customFormat="1" x14ac:dyDescent="0.35">
      <c r="A67" s="293"/>
      <c r="B67" s="292"/>
      <c r="C67" s="292"/>
    </row>
    <row r="68" spans="1:3" s="291" customFormat="1" x14ac:dyDescent="0.35">
      <c r="A68" s="293"/>
      <c r="B68" s="292"/>
      <c r="C68" s="292"/>
    </row>
    <row r="69" spans="1:3" s="291" customFormat="1" x14ac:dyDescent="0.35">
      <c r="A69" s="293"/>
      <c r="B69" s="292"/>
      <c r="C69" s="292"/>
    </row>
    <row r="70" spans="1:3" s="291" customFormat="1" x14ac:dyDescent="0.35">
      <c r="A70" s="293"/>
      <c r="B70" s="292"/>
      <c r="C70" s="292"/>
    </row>
    <row r="71" spans="1:3" s="291" customFormat="1" x14ac:dyDescent="0.35">
      <c r="A71" s="293"/>
      <c r="B71" s="292"/>
      <c r="C71" s="292"/>
    </row>
    <row r="72" spans="1:3" s="291" customFormat="1" x14ac:dyDescent="0.35">
      <c r="A72" s="293"/>
      <c r="B72" s="292"/>
      <c r="C72" s="292"/>
    </row>
    <row r="73" spans="1:3" s="291" customFormat="1" x14ac:dyDescent="0.35">
      <c r="A73" s="293"/>
      <c r="B73" s="292"/>
      <c r="C73" s="292"/>
    </row>
  </sheetData>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85" zoomScaleNormal="85" workbookViewId="0">
      <selection activeCell="E2" sqref="E2"/>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1.54296875" style="46" bestFit="1" customWidth="1"/>
    <col min="14" max="14" width="15" style="46" bestFit="1" customWidth="1"/>
    <col min="15" max="15" width="16" style="46" bestFit="1" customWidth="1"/>
    <col min="16" max="16" width="15" style="46" customWidth="1" outlineLevel="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06/01/2024</v>
      </c>
      <c r="B1" s="3"/>
      <c r="C1" s="3"/>
      <c r="D1" s="3"/>
    </row>
    <row r="2" spans="1:35" x14ac:dyDescent="0.35">
      <c r="E2" s="3" t="s">
        <v>60</v>
      </c>
    </row>
    <row r="3" spans="1:35" ht="29" x14ac:dyDescent="0.35">
      <c r="E3" s="48" t="s">
        <v>45</v>
      </c>
      <c r="F3" s="70" t="s">
        <v>69</v>
      </c>
      <c r="G3" s="70" t="s">
        <v>53</v>
      </c>
      <c r="H3" s="48" t="s">
        <v>3</v>
      </c>
      <c r="I3" s="70" t="s">
        <v>54</v>
      </c>
      <c r="J3" s="48" t="s">
        <v>10</v>
      </c>
      <c r="K3" s="48" t="s">
        <v>9</v>
      </c>
      <c r="S3" s="48"/>
    </row>
    <row r="4" spans="1:35" x14ac:dyDescent="0.35">
      <c r="A4" s="20" t="s">
        <v>24</v>
      </c>
      <c r="B4" s="20"/>
      <c r="C4" s="20"/>
      <c r="D4" s="20"/>
      <c r="E4" s="22">
        <f>SUM(C19:M19)</f>
        <v>129720.83974000002</v>
      </c>
      <c r="F4" s="134">
        <f>N26</f>
        <v>0</v>
      </c>
      <c r="G4" s="22">
        <f>SUM(C33:L33)</f>
        <v>0</v>
      </c>
      <c r="H4" s="22">
        <f>G4-E4</f>
        <v>-129720.83974000002</v>
      </c>
      <c r="I4" s="22">
        <f>+B46</f>
        <v>267366.12463999982</v>
      </c>
      <c r="J4" s="22">
        <f>SUM(C51:L51)</f>
        <v>7721.0800000000008</v>
      </c>
      <c r="K4" s="25">
        <f>SUM(H4:J4)</f>
        <v>145366.36489999978</v>
      </c>
      <c r="L4" s="47">
        <f>+K4-M46</f>
        <v>0</v>
      </c>
    </row>
    <row r="5" spans="1:35" ht="15" thickBot="1" x14ac:dyDescent="0.4">
      <c r="A5" s="20" t="s">
        <v>25</v>
      </c>
      <c r="B5" s="20"/>
      <c r="C5" s="20"/>
      <c r="D5" s="20"/>
      <c r="E5" s="22">
        <f>SUM(C20:M23)</f>
        <v>157221.03624000002</v>
      </c>
      <c r="F5" s="134">
        <f>SUM(N27:N30)</f>
        <v>0</v>
      </c>
      <c r="G5" s="22">
        <f>SUM(C34:L37)</f>
        <v>0</v>
      </c>
      <c r="H5" s="22">
        <f>G5-E5</f>
        <v>-157221.03624000002</v>
      </c>
      <c r="I5" s="22">
        <f>+B47</f>
        <v>283223.59555999923</v>
      </c>
      <c r="J5" s="22">
        <f>SUM(C52:L52)</f>
        <v>7646.41</v>
      </c>
      <c r="K5" s="25">
        <f>SUM(H5:J5)</f>
        <v>133648.96931999922</v>
      </c>
      <c r="L5" s="47">
        <f>+K5-M47</f>
        <v>0</v>
      </c>
    </row>
    <row r="6" spans="1:35" ht="15.5" thickTop="1" thickBot="1" x14ac:dyDescent="0.4">
      <c r="E6" s="27">
        <f t="shared" ref="E6" si="0">SUM(E4:E5)</f>
        <v>286941.87598000001</v>
      </c>
      <c r="F6" s="135">
        <f t="shared" ref="F6:I6" si="1">SUM(F4:F5)</f>
        <v>0</v>
      </c>
      <c r="G6" s="27">
        <f t="shared" si="1"/>
        <v>0</v>
      </c>
      <c r="H6" s="27">
        <f t="shared" si="1"/>
        <v>-286941.87598000001</v>
      </c>
      <c r="I6" s="27">
        <f t="shared" si="1"/>
        <v>550589.72019999905</v>
      </c>
      <c r="J6" s="27">
        <f>SUM(J4:J5)</f>
        <v>15367.490000000002</v>
      </c>
      <c r="K6" s="27">
        <f>SUM(K4:K5)</f>
        <v>279015.33421999903</v>
      </c>
      <c r="T6" s="5"/>
    </row>
    <row r="7" spans="1:35" ht="44" thickTop="1" x14ac:dyDescent="0.35">
      <c r="K7" s="225"/>
      <c r="L7" s="224" t="s">
        <v>122</v>
      </c>
    </row>
    <row r="8" spans="1:35" x14ac:dyDescent="0.35">
      <c r="A8" s="20" t="s">
        <v>104</v>
      </c>
      <c r="K8" s="25">
        <f>ROUND($K$5*L8,2)</f>
        <v>18144.77</v>
      </c>
      <c r="L8" s="222">
        <f>+'PCR Cycle 2'!L8</f>
        <v>0.13576441564001979</v>
      </c>
    </row>
    <row r="9" spans="1:35" x14ac:dyDescent="0.35">
      <c r="A9" s="20" t="s">
        <v>105</v>
      </c>
      <c r="K9" s="25">
        <f t="shared" ref="K9:K11" si="2">ROUND($K$5*L9,2)</f>
        <v>47594.5</v>
      </c>
      <c r="L9" s="222">
        <f>+'PCR Cycle 2'!L9</f>
        <v>0.35611574316442379</v>
      </c>
    </row>
    <row r="10" spans="1:35" x14ac:dyDescent="0.35">
      <c r="A10" s="20" t="s">
        <v>106</v>
      </c>
      <c r="K10" s="25">
        <f t="shared" si="2"/>
        <v>55907.85</v>
      </c>
      <c r="L10" s="222">
        <f>+'PCR Cycle 2'!L10</f>
        <v>0.4183185730547726</v>
      </c>
    </row>
    <row r="11" spans="1:35" ht="15" thickBot="1" x14ac:dyDescent="0.4">
      <c r="A11" s="20" t="s">
        <v>107</v>
      </c>
      <c r="J11" s="4"/>
      <c r="K11" s="25">
        <f t="shared" si="2"/>
        <v>12001.85</v>
      </c>
      <c r="L11" s="222">
        <f>+'PCR Cycle 2'!L11</f>
        <v>8.9801268140783777E-2</v>
      </c>
      <c r="V11" s="4"/>
    </row>
    <row r="12" spans="1:35" ht="15.5" thickTop="1" thickBot="1" x14ac:dyDescent="0.4">
      <c r="A12" s="20" t="s">
        <v>109</v>
      </c>
      <c r="K12" s="27">
        <f>SUM(K8:K11)</f>
        <v>133648.97</v>
      </c>
      <c r="L12" s="223">
        <f>SUM(L8:L11)</f>
        <v>1</v>
      </c>
      <c r="V12" s="4"/>
      <c r="W12" s="5"/>
    </row>
    <row r="13" spans="1:35" ht="15.5" thickTop="1" thickBot="1" x14ac:dyDescent="0.4">
      <c r="V13" s="4"/>
      <c r="W13" s="5"/>
    </row>
    <row r="14" spans="1:35" ht="116.5" thickBot="1" x14ac:dyDescent="0.4">
      <c r="B14" s="115" t="str">
        <f>+'PCR Cycle 2'!B14</f>
        <v>Cumulative Over/Under Carryover From 12/01/2023 Filing</v>
      </c>
      <c r="C14" s="149" t="str">
        <f>+'PCR Cycle 2'!C14</f>
        <v>Reverse November 2023 - January 2024 Forecast From 12/01/2023 Filing</v>
      </c>
      <c r="D14" s="149">
        <f>+'PCR Cycle 2'!D14</f>
        <v>0</v>
      </c>
      <c r="E14" s="351" t="s">
        <v>32</v>
      </c>
      <c r="F14" s="351"/>
      <c r="G14" s="352"/>
      <c r="H14" s="358" t="s">
        <v>32</v>
      </c>
      <c r="I14" s="359"/>
      <c r="J14" s="360"/>
      <c r="K14" s="347" t="s">
        <v>8</v>
      </c>
      <c r="L14" s="348"/>
      <c r="M14" s="349"/>
      <c r="P14" s="290" t="s">
        <v>237</v>
      </c>
    </row>
    <row r="15" spans="1:35" x14ac:dyDescent="0.35">
      <c r="A15" s="46" t="s">
        <v>62</v>
      </c>
      <c r="C15" s="105"/>
      <c r="D15" s="209"/>
      <c r="E15" s="19">
        <f>+'PCR Cycle 2'!E15</f>
        <v>45260</v>
      </c>
      <c r="F15" s="19">
        <f t="shared" ref="F15:M15" si="3">EOMONTH(E15,1)</f>
        <v>45291</v>
      </c>
      <c r="G15" s="19">
        <f t="shared" si="3"/>
        <v>45322</v>
      </c>
      <c r="H15" s="14">
        <f t="shared" si="3"/>
        <v>45351</v>
      </c>
      <c r="I15" s="19">
        <f t="shared" si="3"/>
        <v>45382</v>
      </c>
      <c r="J15" s="15">
        <f t="shared" si="3"/>
        <v>45412</v>
      </c>
      <c r="K15" s="19">
        <f t="shared" si="3"/>
        <v>45443</v>
      </c>
      <c r="L15" s="19">
        <f t="shared" si="3"/>
        <v>45473</v>
      </c>
      <c r="M15" s="15">
        <f t="shared" si="3"/>
        <v>45504</v>
      </c>
      <c r="P15" s="186"/>
      <c r="Z15" s="1"/>
      <c r="AA15" s="1"/>
      <c r="AB15" s="1"/>
      <c r="AC15" s="1"/>
      <c r="AD15" s="1"/>
      <c r="AE15" s="1"/>
      <c r="AF15" s="1"/>
      <c r="AG15" s="1"/>
      <c r="AH15" s="1"/>
      <c r="AI15" s="1"/>
    </row>
    <row r="16" spans="1:35" x14ac:dyDescent="0.35">
      <c r="A16" s="46" t="s">
        <v>5</v>
      </c>
      <c r="C16" s="189"/>
      <c r="D16" s="192">
        <f t="shared" ref="D16" si="4">+D33+D37</f>
        <v>0</v>
      </c>
      <c r="E16" s="109">
        <f>SUM(E33:E37)</f>
        <v>0</v>
      </c>
      <c r="F16" s="109">
        <f t="shared" ref="F16:L16" si="5">SUM(F33:F37)</f>
        <v>0</v>
      </c>
      <c r="G16" s="110">
        <f t="shared" si="5"/>
        <v>0</v>
      </c>
      <c r="H16" s="16">
        <f t="shared" si="5"/>
        <v>0</v>
      </c>
      <c r="I16" s="55">
        <f t="shared" si="5"/>
        <v>0</v>
      </c>
      <c r="J16" s="162">
        <f t="shared" si="5"/>
        <v>0</v>
      </c>
      <c r="K16" s="155">
        <f t="shared" si="5"/>
        <v>0</v>
      </c>
      <c r="L16" s="78">
        <f t="shared" si="5"/>
        <v>0</v>
      </c>
      <c r="M16" s="79"/>
      <c r="P16" s="186">
        <f>-SUM(K16:M16)</f>
        <v>0</v>
      </c>
    </row>
    <row r="17" spans="1:16" x14ac:dyDescent="0.35">
      <c r="C17" s="99"/>
      <c r="D17" s="193"/>
      <c r="E17" s="17"/>
      <c r="F17" s="17"/>
      <c r="G17" s="17"/>
      <c r="H17" s="10"/>
      <c r="I17" s="17"/>
      <c r="J17" s="11"/>
      <c r="K17" s="31"/>
      <c r="L17" s="31"/>
      <c r="M17" s="29"/>
      <c r="P17" s="186"/>
    </row>
    <row r="18" spans="1:16" x14ac:dyDescent="0.35">
      <c r="A18" s="46" t="s">
        <v>61</v>
      </c>
      <c r="C18" s="99"/>
      <c r="D18" s="193"/>
      <c r="E18" s="18"/>
      <c r="F18" s="18"/>
      <c r="G18" s="18"/>
      <c r="H18" s="91"/>
      <c r="I18" s="18"/>
      <c r="J18" s="163"/>
      <c r="K18" s="31"/>
      <c r="L18" s="31"/>
      <c r="M18" s="29"/>
      <c r="N18" s="3" t="s">
        <v>66</v>
      </c>
      <c r="O18" s="39"/>
      <c r="P18" s="186"/>
    </row>
    <row r="19" spans="1:16" x14ac:dyDescent="0.35">
      <c r="A19" s="46" t="s">
        <v>24</v>
      </c>
      <c r="C19" s="189">
        <v>-141975.16535999998</v>
      </c>
      <c r="D19" s="192">
        <v>0</v>
      </c>
      <c r="E19" s="132">
        <f>'[4]November 2023'!$G61</f>
        <v>32603.72</v>
      </c>
      <c r="F19" s="132">
        <f>'[4]December 2023'!$G61</f>
        <v>42435.78</v>
      </c>
      <c r="G19" s="132">
        <f>'[4]January 2024'!$G61</f>
        <v>54100.25</v>
      </c>
      <c r="H19" s="16">
        <f>'[4]February 2024'!$G61</f>
        <v>43983.24</v>
      </c>
      <c r="I19" s="118">
        <f>'[4]March 2024'!$G61</f>
        <v>17206.420000000002</v>
      </c>
      <c r="J19" s="167">
        <f>'[4]April 2024'!$G61</f>
        <v>15630.76</v>
      </c>
      <c r="K19" s="120">
        <f>'PCR Cycle 2'!K27*'TDR Cycle 2'!$N19</f>
        <v>15714.628500000001</v>
      </c>
      <c r="L19" s="41">
        <f>'PCR Cycle 2'!L27*'TDR Cycle 2'!$N19</f>
        <v>20262.838299999999</v>
      </c>
      <c r="M19" s="61">
        <f>'PCR Cycle 2'!M27*'TDR Cycle 2'!$N19</f>
        <v>29758.368300000002</v>
      </c>
      <c r="N19" s="72">
        <v>1E-4</v>
      </c>
      <c r="O19" s="4"/>
      <c r="P19" s="186">
        <f t="shared" ref="P19:P23" si="6">-SUM(K19:M19)</f>
        <v>-65735.835099999997</v>
      </c>
    </row>
    <row r="20" spans="1:16" x14ac:dyDescent="0.35">
      <c r="A20" s="46" t="s">
        <v>104</v>
      </c>
      <c r="C20" s="189">
        <v>-19266.17914</v>
      </c>
      <c r="D20" s="192"/>
      <c r="E20" s="132">
        <f>'[4]November 2023'!$G62</f>
        <v>5776.08</v>
      </c>
      <c r="F20" s="132">
        <f>'[4]December 2023'!$G62</f>
        <v>6727.8</v>
      </c>
      <c r="G20" s="132">
        <f>'[4]January 2024'!$G62</f>
        <v>7854.45</v>
      </c>
      <c r="H20" s="16">
        <f>'[4]February 2024'!$G62</f>
        <v>6197.7800000000007</v>
      </c>
      <c r="I20" s="118">
        <f>'[4]March 2024'!$G62</f>
        <v>2884.3999999999996</v>
      </c>
      <c r="J20" s="167">
        <f>'[4]April 2024'!$G62</f>
        <v>2710.1699999999996</v>
      </c>
      <c r="K20" s="120">
        <f>'PCR Cycle 2'!K28*'TDR Cycle 2'!$N20</f>
        <v>2925.8789999999999</v>
      </c>
      <c r="L20" s="41">
        <f>'PCR Cycle 2'!L28*'TDR Cycle 2'!$N20</f>
        <v>3224.1784200000002</v>
      </c>
      <c r="M20" s="61">
        <f>'PCR Cycle 2'!M28*'TDR Cycle 2'!$N20</f>
        <v>3617.17704</v>
      </c>
      <c r="N20" s="72">
        <v>6.0000000000000002E-5</v>
      </c>
      <c r="O20" s="4"/>
      <c r="P20" s="186">
        <f t="shared" si="6"/>
        <v>-9767.2344599999997</v>
      </c>
    </row>
    <row r="21" spans="1:16" x14ac:dyDescent="0.35">
      <c r="A21" s="46" t="s">
        <v>105</v>
      </c>
      <c r="C21" s="189">
        <v>-49052.058659999995</v>
      </c>
      <c r="D21" s="192"/>
      <c r="E21" s="132">
        <f>'[4]November 2023'!$G63</f>
        <v>14125.390000000001</v>
      </c>
      <c r="F21" s="132">
        <f>'[4]December 2023'!$G63</f>
        <v>15640.52</v>
      </c>
      <c r="G21" s="132">
        <f>'[4]January 2024'!$G63</f>
        <v>17464.98</v>
      </c>
      <c r="H21" s="16">
        <f>'[4]February 2024'!$G63</f>
        <v>14689.84</v>
      </c>
      <c r="I21" s="118">
        <f>'[4]March 2024'!$G63</f>
        <v>7210.16</v>
      </c>
      <c r="J21" s="167">
        <f>'[4]April 2024'!$G63</f>
        <v>6847.4299999999994</v>
      </c>
      <c r="K21" s="120">
        <f>'PCR Cycle 2'!K29*'TDR Cycle 2'!$N21</f>
        <v>7717.0288500000006</v>
      </c>
      <c r="L21" s="41">
        <f>'PCR Cycle 2'!L29*'TDR Cycle 2'!$N21</f>
        <v>8503.7959800000008</v>
      </c>
      <c r="M21" s="61">
        <f>'PCR Cycle 2'!M29*'TDR Cycle 2'!$N21</f>
        <v>9540.3328200000014</v>
      </c>
      <c r="N21" s="72">
        <v>9.0000000000000006E-5</v>
      </c>
      <c r="O21" s="4"/>
      <c r="P21" s="186">
        <f t="shared" si="6"/>
        <v>-25761.157650000001</v>
      </c>
    </row>
    <row r="22" spans="1:16" x14ac:dyDescent="0.35">
      <c r="A22" s="46" t="s">
        <v>106</v>
      </c>
      <c r="C22" s="189">
        <v>-61761.175839999996</v>
      </c>
      <c r="D22" s="192"/>
      <c r="E22" s="132">
        <f>'[4]November 2023'!$G64</f>
        <v>18377.919999999998</v>
      </c>
      <c r="F22" s="132">
        <f>'[4]December 2023'!$G64</f>
        <v>20262.189999999999</v>
      </c>
      <c r="G22" s="132">
        <f>'[4]January 2024'!$G64</f>
        <v>21950.54</v>
      </c>
      <c r="H22" s="16">
        <f>'[4]February 2024'!$G64</f>
        <v>18102.05</v>
      </c>
      <c r="I22" s="118">
        <f>'[4]March 2024'!$G64</f>
        <v>10064.67</v>
      </c>
      <c r="J22" s="167">
        <f>'[4]April 2024'!$G64</f>
        <v>9443.5</v>
      </c>
      <c r="K22" s="120">
        <f>'PCR Cycle 2'!K30*'TDR Cycle 2'!$N22</f>
        <v>9541.4206299999987</v>
      </c>
      <c r="L22" s="41">
        <f>'PCR Cycle 2'!L30*'TDR Cycle 2'!$N22</f>
        <v>10514.1883</v>
      </c>
      <c r="M22" s="61">
        <f>'PCR Cycle 2'!M30*'TDR Cycle 2'!$N22</f>
        <v>11795.77399</v>
      </c>
      <c r="N22" s="72">
        <v>6.9999999999999994E-5</v>
      </c>
      <c r="O22" s="4"/>
      <c r="P22" s="186">
        <f t="shared" si="6"/>
        <v>-31851.382919999996</v>
      </c>
    </row>
    <row r="23" spans="1:16" x14ac:dyDescent="0.35">
      <c r="A23" s="46" t="s">
        <v>107</v>
      </c>
      <c r="C23" s="189">
        <v>-11474.0108</v>
      </c>
      <c r="D23" s="192">
        <v>0</v>
      </c>
      <c r="E23" s="132">
        <f>'[4]November 2023'!$G65</f>
        <v>4162.16</v>
      </c>
      <c r="F23" s="132">
        <f>'[4]December 2023'!$G65</f>
        <v>3996.3700000000003</v>
      </c>
      <c r="G23" s="132">
        <f>'[4]January 2024'!$G65</f>
        <v>4201.54</v>
      </c>
      <c r="H23" s="16">
        <f>'[4]February 2024'!$G65</f>
        <v>3064.91</v>
      </c>
      <c r="I23" s="118">
        <f>'[4]March 2024'!$G65</f>
        <v>1795.31</v>
      </c>
      <c r="J23" s="167">
        <f>'[4]April 2024'!$G65</f>
        <v>1800.0500000000002</v>
      </c>
      <c r="K23" s="120">
        <f>'PCR Cycle 2'!K31*'TDR Cycle 2'!$N23</f>
        <v>1810.6870000000001</v>
      </c>
      <c r="L23" s="41">
        <f>'PCR Cycle 2'!L31*'TDR Cycle 2'!$N23</f>
        <v>1995.2903000000001</v>
      </c>
      <c r="M23" s="61">
        <f>'PCR Cycle 2'!M31*'TDR Cycle 2'!$N23</f>
        <v>2238.4983500000003</v>
      </c>
      <c r="N23" s="72">
        <v>5.0000000000000002E-5</v>
      </c>
      <c r="O23" s="4"/>
      <c r="P23" s="186">
        <f t="shared" si="6"/>
        <v>-6044.4756500000003</v>
      </c>
    </row>
    <row r="24" spans="1:16" x14ac:dyDescent="0.35">
      <c r="C24" s="67"/>
      <c r="D24" s="194"/>
      <c r="E24" s="68"/>
      <c r="F24" s="68"/>
      <c r="G24" s="68"/>
      <c r="H24" s="67"/>
      <c r="I24" s="68"/>
      <c r="J24" s="165"/>
      <c r="K24" s="56"/>
      <c r="L24" s="56"/>
      <c r="M24" s="13"/>
      <c r="O24" s="4"/>
    </row>
    <row r="25" spans="1:16" x14ac:dyDescent="0.35">
      <c r="A25" s="39" t="s">
        <v>65</v>
      </c>
      <c r="B25" s="39"/>
      <c r="C25" s="67"/>
      <c r="D25" s="194"/>
      <c r="E25" s="56"/>
      <c r="F25" s="56"/>
      <c r="G25" s="56"/>
      <c r="H25" s="12"/>
      <c r="I25" s="56"/>
      <c r="J25" s="166"/>
      <c r="K25" s="56"/>
      <c r="L25" s="56"/>
      <c r="M25" s="13"/>
      <c r="N25" s="7"/>
    </row>
    <row r="26" spans="1:16" x14ac:dyDescent="0.35">
      <c r="A26" s="46" t="s">
        <v>24</v>
      </c>
      <c r="C26" s="190"/>
      <c r="D26" s="195"/>
      <c r="E26" s="111">
        <v>0</v>
      </c>
      <c r="F26" s="111">
        <v>0</v>
      </c>
      <c r="G26" s="111">
        <v>0</v>
      </c>
      <c r="H26" s="74">
        <v>0</v>
      </c>
      <c r="I26" s="74">
        <v>0</v>
      </c>
      <c r="J26" s="74">
        <v>0</v>
      </c>
      <c r="K26" s="156">
        <v>0</v>
      </c>
      <c r="L26" s="156">
        <v>0</v>
      </c>
      <c r="M26" s="80"/>
      <c r="N26" s="59">
        <f>SUM(C26:L26)</f>
        <v>0</v>
      </c>
    </row>
    <row r="27" spans="1:16" x14ac:dyDescent="0.35">
      <c r="A27" s="46" t="s">
        <v>104</v>
      </c>
      <c r="C27" s="190"/>
      <c r="D27" s="195"/>
      <c r="E27" s="111">
        <v>0</v>
      </c>
      <c r="F27" s="111">
        <v>0</v>
      </c>
      <c r="G27" s="111">
        <v>0</v>
      </c>
      <c r="H27" s="74">
        <v>0</v>
      </c>
      <c r="I27" s="74">
        <v>0</v>
      </c>
      <c r="J27" s="74">
        <v>0</v>
      </c>
      <c r="K27" s="156">
        <v>0</v>
      </c>
      <c r="L27" s="156">
        <v>0</v>
      </c>
      <c r="M27" s="80"/>
      <c r="N27" s="59">
        <f t="shared" ref="N27:N30" si="7">SUM(C27:L27)</f>
        <v>0</v>
      </c>
    </row>
    <row r="28" spans="1:16" x14ac:dyDescent="0.35">
      <c r="A28" s="46" t="s">
        <v>105</v>
      </c>
      <c r="C28" s="190"/>
      <c r="D28" s="195"/>
      <c r="E28" s="111">
        <v>0</v>
      </c>
      <c r="F28" s="111">
        <v>0</v>
      </c>
      <c r="G28" s="111">
        <v>0</v>
      </c>
      <c r="H28" s="74">
        <v>0</v>
      </c>
      <c r="I28" s="74">
        <v>0</v>
      </c>
      <c r="J28" s="74">
        <v>0</v>
      </c>
      <c r="K28" s="156">
        <v>0</v>
      </c>
      <c r="L28" s="156">
        <v>0</v>
      </c>
      <c r="M28" s="80"/>
      <c r="N28" s="59">
        <f t="shared" si="7"/>
        <v>0</v>
      </c>
    </row>
    <row r="29" spans="1:16" x14ac:dyDescent="0.35">
      <c r="A29" s="46" t="s">
        <v>106</v>
      </c>
      <c r="C29" s="190"/>
      <c r="D29" s="195"/>
      <c r="E29" s="111">
        <v>0</v>
      </c>
      <c r="F29" s="111">
        <v>0</v>
      </c>
      <c r="G29" s="111">
        <v>0</v>
      </c>
      <c r="H29" s="74">
        <v>0</v>
      </c>
      <c r="I29" s="74">
        <v>0</v>
      </c>
      <c r="J29" s="74">
        <v>0</v>
      </c>
      <c r="K29" s="156">
        <v>0</v>
      </c>
      <c r="L29" s="156">
        <v>0</v>
      </c>
      <c r="M29" s="80"/>
      <c r="N29" s="59">
        <f t="shared" si="7"/>
        <v>0</v>
      </c>
    </row>
    <row r="30" spans="1:16" x14ac:dyDescent="0.35">
      <c r="A30" s="46" t="s">
        <v>107</v>
      </c>
      <c r="C30" s="190"/>
      <c r="D30" s="195"/>
      <c r="E30" s="111">
        <v>0</v>
      </c>
      <c r="F30" s="111">
        <v>0</v>
      </c>
      <c r="G30" s="111">
        <v>0</v>
      </c>
      <c r="H30" s="74">
        <v>0</v>
      </c>
      <c r="I30" s="74">
        <v>0</v>
      </c>
      <c r="J30" s="74">
        <v>0</v>
      </c>
      <c r="K30" s="156">
        <v>0</v>
      </c>
      <c r="L30" s="156">
        <v>0</v>
      </c>
      <c r="M30" s="80"/>
      <c r="N30" s="59">
        <f t="shared" si="7"/>
        <v>0</v>
      </c>
    </row>
    <row r="31" spans="1:16" x14ac:dyDescent="0.35">
      <c r="C31" s="67"/>
      <c r="D31" s="194"/>
      <c r="E31" s="68"/>
      <c r="F31" s="68"/>
      <c r="G31" s="68"/>
      <c r="H31" s="67"/>
      <c r="I31" s="68"/>
      <c r="J31" s="165"/>
      <c r="K31" s="56"/>
      <c r="L31" s="56"/>
      <c r="M31" s="13"/>
    </row>
    <row r="32" spans="1:16" x14ac:dyDescent="0.35">
      <c r="A32" s="46" t="s">
        <v>67</v>
      </c>
      <c r="C32" s="36"/>
      <c r="D32" s="196"/>
      <c r="E32" s="37"/>
      <c r="F32" s="37"/>
      <c r="G32" s="37"/>
      <c r="H32" s="36"/>
      <c r="I32" s="37"/>
      <c r="J32" s="168"/>
      <c r="K32" s="52"/>
      <c r="L32" s="52"/>
      <c r="M32" s="38"/>
    </row>
    <row r="33" spans="1:16" x14ac:dyDescent="0.35">
      <c r="A33" s="46" t="s">
        <v>24</v>
      </c>
      <c r="C33" s="189"/>
      <c r="D33" s="192"/>
      <c r="E33" s="111">
        <v>0</v>
      </c>
      <c r="F33" s="111">
        <v>0</v>
      </c>
      <c r="G33" s="111">
        <v>0</v>
      </c>
      <c r="H33" s="74">
        <v>0</v>
      </c>
      <c r="I33" s="74">
        <v>0</v>
      </c>
      <c r="J33" s="74">
        <v>0</v>
      </c>
      <c r="K33" s="156">
        <v>0</v>
      </c>
      <c r="L33" s="156">
        <v>0</v>
      </c>
      <c r="M33" s="79"/>
    </row>
    <row r="34" spans="1:16" x14ac:dyDescent="0.35">
      <c r="A34" s="46" t="s">
        <v>104</v>
      </c>
      <c r="C34" s="189"/>
      <c r="D34" s="192"/>
      <c r="E34" s="111">
        <v>0</v>
      </c>
      <c r="F34" s="111">
        <v>0</v>
      </c>
      <c r="G34" s="111">
        <v>0</v>
      </c>
      <c r="H34" s="74">
        <v>0</v>
      </c>
      <c r="I34" s="74">
        <v>0</v>
      </c>
      <c r="J34" s="74">
        <v>0</v>
      </c>
      <c r="K34" s="156">
        <v>0</v>
      </c>
      <c r="L34" s="156">
        <v>0</v>
      </c>
      <c r="M34" s="79"/>
    </row>
    <row r="35" spans="1:16" x14ac:dyDescent="0.35">
      <c r="A35" s="46" t="s">
        <v>105</v>
      </c>
      <c r="C35" s="189"/>
      <c r="D35" s="192"/>
      <c r="E35" s="111">
        <v>0</v>
      </c>
      <c r="F35" s="111">
        <v>0</v>
      </c>
      <c r="G35" s="111">
        <v>0</v>
      </c>
      <c r="H35" s="74">
        <v>0</v>
      </c>
      <c r="I35" s="74">
        <v>0</v>
      </c>
      <c r="J35" s="74">
        <v>0</v>
      </c>
      <c r="K35" s="156">
        <v>0</v>
      </c>
      <c r="L35" s="156">
        <v>0</v>
      </c>
      <c r="M35" s="79"/>
    </row>
    <row r="36" spans="1:16" x14ac:dyDescent="0.35">
      <c r="A36" s="46" t="s">
        <v>106</v>
      </c>
      <c r="C36" s="189"/>
      <c r="D36" s="192"/>
      <c r="E36" s="111">
        <v>0</v>
      </c>
      <c r="F36" s="111">
        <v>0</v>
      </c>
      <c r="G36" s="111">
        <v>0</v>
      </c>
      <c r="H36" s="74">
        <v>0</v>
      </c>
      <c r="I36" s="74">
        <v>0</v>
      </c>
      <c r="J36" s="74">
        <v>0</v>
      </c>
      <c r="K36" s="156">
        <v>0</v>
      </c>
      <c r="L36" s="156">
        <v>0</v>
      </c>
      <c r="M36" s="79"/>
    </row>
    <row r="37" spans="1:16" x14ac:dyDescent="0.35">
      <c r="A37" s="46" t="s">
        <v>107</v>
      </c>
      <c r="C37" s="189"/>
      <c r="D37" s="192"/>
      <c r="E37" s="111">
        <v>0</v>
      </c>
      <c r="F37" s="111">
        <v>0</v>
      </c>
      <c r="G37" s="111">
        <v>0</v>
      </c>
      <c r="H37" s="74">
        <v>0</v>
      </c>
      <c r="I37" s="74">
        <v>0</v>
      </c>
      <c r="J37" s="74">
        <v>0</v>
      </c>
      <c r="K37" s="156">
        <v>0</v>
      </c>
      <c r="L37" s="156">
        <v>0</v>
      </c>
      <c r="M37" s="79"/>
      <c r="O37" s="47"/>
    </row>
    <row r="38" spans="1:16" x14ac:dyDescent="0.35">
      <c r="C38" s="99"/>
      <c r="D38" s="193"/>
      <c r="E38" s="18"/>
      <c r="F38" s="18"/>
      <c r="G38" s="18"/>
      <c r="H38" s="91"/>
      <c r="I38" s="18"/>
      <c r="J38" s="163"/>
      <c r="K38" s="56"/>
      <c r="L38" s="56"/>
      <c r="M38" s="13"/>
    </row>
    <row r="39" spans="1:16" ht="15" thickBot="1" x14ac:dyDescent="0.4">
      <c r="A39" s="3" t="s">
        <v>15</v>
      </c>
      <c r="B39" s="3"/>
      <c r="C39" s="191">
        <v>-7978.66</v>
      </c>
      <c r="D39" s="197"/>
      <c r="E39" s="132">
        <v>4227.2</v>
      </c>
      <c r="F39" s="132">
        <v>3897.82</v>
      </c>
      <c r="G39" s="133">
        <v>3376.07</v>
      </c>
      <c r="H39" s="26">
        <v>2863.67</v>
      </c>
      <c r="I39" s="119">
        <v>2539.2200000000003</v>
      </c>
      <c r="J39" s="169">
        <v>2344.41</v>
      </c>
      <c r="K39" s="158">
        <f>ROUND((SUM(J46:J47)+SUM(J51:J52)+SUM(K42:K43)/2)*K$49,2)</f>
        <v>2155.06</v>
      </c>
      <c r="L39" s="141">
        <f>ROUND((SUM(K46:K47)+SUM(K51:K52)+SUM(L42:L43)/2)*L$49,2)</f>
        <v>1942.67</v>
      </c>
      <c r="M39" s="82"/>
      <c r="P39" s="186">
        <f t="shared" ref="P39" si="8">-SUM(K39:M39)</f>
        <v>-4097.7299999999996</v>
      </c>
    </row>
    <row r="40" spans="1:16" x14ac:dyDescent="0.35">
      <c r="C40" s="64"/>
      <c r="D40" s="200"/>
      <c r="E40" s="66"/>
      <c r="F40" s="66"/>
      <c r="G40" s="33"/>
      <c r="H40" s="64"/>
      <c r="I40" s="33"/>
      <c r="J40" s="170"/>
      <c r="K40" s="34"/>
      <c r="L40" s="34"/>
      <c r="M40" s="60"/>
    </row>
    <row r="41" spans="1:16" x14ac:dyDescent="0.35">
      <c r="A41" s="46" t="s">
        <v>51</v>
      </c>
      <c r="C41" s="65"/>
      <c r="D41" s="201"/>
      <c r="E41" s="35"/>
      <c r="F41" s="35"/>
      <c r="G41" s="35"/>
      <c r="H41" s="65"/>
      <c r="I41" s="35"/>
      <c r="J41" s="171"/>
      <c r="K41" s="34"/>
      <c r="L41" s="34"/>
      <c r="M41" s="60"/>
    </row>
    <row r="42" spans="1:16" x14ac:dyDescent="0.35">
      <c r="A42" s="46" t="s">
        <v>24</v>
      </c>
      <c r="C42" s="198">
        <f>C33-C19</f>
        <v>141975.16535999998</v>
      </c>
      <c r="D42" s="202">
        <f t="shared" ref="D42" si="9">D33-D19</f>
        <v>0</v>
      </c>
      <c r="E42" s="41">
        <f t="shared" ref="E42:M42" si="10">E33-E19</f>
        <v>-32603.72</v>
      </c>
      <c r="F42" s="41">
        <f t="shared" si="10"/>
        <v>-42435.78</v>
      </c>
      <c r="G42" s="108">
        <f t="shared" si="10"/>
        <v>-54100.25</v>
      </c>
      <c r="H42" s="40">
        <f t="shared" si="10"/>
        <v>-43983.24</v>
      </c>
      <c r="I42" s="41">
        <f t="shared" si="10"/>
        <v>-17206.420000000002</v>
      </c>
      <c r="J42" s="61">
        <f t="shared" si="10"/>
        <v>-15630.76</v>
      </c>
      <c r="K42" s="120">
        <f t="shared" si="10"/>
        <v>-15714.628500000001</v>
      </c>
      <c r="L42" s="41">
        <f t="shared" si="10"/>
        <v>-20262.838299999999</v>
      </c>
      <c r="M42" s="61">
        <f t="shared" si="10"/>
        <v>-29758.368300000002</v>
      </c>
    </row>
    <row r="43" spans="1:16" x14ac:dyDescent="0.35">
      <c r="A43" s="46" t="s">
        <v>25</v>
      </c>
      <c r="C43" s="198">
        <f t="shared" ref="C43:D43" si="11">SUM(C34:C37)-SUM(C20:C23)</f>
        <v>141553.42444</v>
      </c>
      <c r="D43" s="202">
        <f t="shared" si="11"/>
        <v>0</v>
      </c>
      <c r="E43" s="41">
        <f>SUM(E34:E37)-SUM(E20:E23)</f>
        <v>-42441.55</v>
      </c>
      <c r="F43" s="41">
        <f t="shared" ref="F43:M43" si="12">SUM(F34:F37)-SUM(F20:F23)</f>
        <v>-46626.879999999997</v>
      </c>
      <c r="G43" s="108">
        <f t="shared" si="12"/>
        <v>-51471.51</v>
      </c>
      <c r="H43" s="40">
        <f t="shared" si="12"/>
        <v>-42054.58</v>
      </c>
      <c r="I43" s="41">
        <f t="shared" si="12"/>
        <v>-21954.54</v>
      </c>
      <c r="J43" s="61">
        <f t="shared" si="12"/>
        <v>-20801.149999999998</v>
      </c>
      <c r="K43" s="120">
        <f t="shared" si="12"/>
        <v>-21995.015479999998</v>
      </c>
      <c r="L43" s="41">
        <f t="shared" si="12"/>
        <v>-24237.453000000001</v>
      </c>
      <c r="M43" s="61">
        <f t="shared" si="12"/>
        <v>-27191.782200000001</v>
      </c>
    </row>
    <row r="44" spans="1:16" x14ac:dyDescent="0.35">
      <c r="C44" s="99"/>
      <c r="D44" s="193"/>
      <c r="E44" s="17"/>
      <c r="F44" s="17"/>
      <c r="G44" s="17"/>
      <c r="H44" s="10"/>
      <c r="I44" s="17"/>
      <c r="J44" s="11"/>
      <c r="K44" s="17"/>
      <c r="L44" s="17"/>
      <c r="M44" s="11"/>
    </row>
    <row r="45" spans="1:16" ht="15" thickBot="1" x14ac:dyDescent="0.4">
      <c r="A45" s="46" t="s">
        <v>52</v>
      </c>
      <c r="C45" s="99"/>
      <c r="D45" s="193"/>
      <c r="E45" s="17"/>
      <c r="F45" s="17"/>
      <c r="G45" s="17"/>
      <c r="H45" s="10"/>
      <c r="I45" s="17"/>
      <c r="J45" s="11"/>
      <c r="K45" s="17"/>
      <c r="L45" s="17"/>
      <c r="M45" s="11"/>
    </row>
    <row r="46" spans="1:16" x14ac:dyDescent="0.35">
      <c r="A46" s="46" t="s">
        <v>24</v>
      </c>
      <c r="B46" s="307">
        <v>267366.12463999982</v>
      </c>
      <c r="C46" s="198">
        <f t="shared" ref="C46:E47" si="13">+B46+C42+B51</f>
        <v>409341.2899999998</v>
      </c>
      <c r="D46" s="202">
        <f t="shared" si="13"/>
        <v>405401.29999999981</v>
      </c>
      <c r="E46" s="41">
        <f t="shared" si="13"/>
        <v>372797.57999999984</v>
      </c>
      <c r="F46" s="41">
        <f t="shared" ref="F46:M46" si="14">+E46+F42+E51</f>
        <v>332447.47999999981</v>
      </c>
      <c r="G46" s="108">
        <f t="shared" si="14"/>
        <v>280286.6599999998</v>
      </c>
      <c r="H46" s="40">
        <f t="shared" si="14"/>
        <v>237984.07999999981</v>
      </c>
      <c r="I46" s="41">
        <f t="shared" si="14"/>
        <v>222195.8799999998</v>
      </c>
      <c r="J46" s="61">
        <f t="shared" si="14"/>
        <v>207824.88999999978</v>
      </c>
      <c r="K46" s="120">
        <f t="shared" si="14"/>
        <v>193286.10149999979</v>
      </c>
      <c r="L46" s="41">
        <f t="shared" si="14"/>
        <v>174120.05319999979</v>
      </c>
      <c r="M46" s="61">
        <f t="shared" si="14"/>
        <v>145366.36489999978</v>
      </c>
    </row>
    <row r="47" spans="1:16" ht="15" thickBot="1" x14ac:dyDescent="0.4">
      <c r="A47" s="46" t="s">
        <v>25</v>
      </c>
      <c r="B47" s="308">
        <v>283223.59555999923</v>
      </c>
      <c r="C47" s="198">
        <f t="shared" si="13"/>
        <v>424777.0199999992</v>
      </c>
      <c r="D47" s="202">
        <f t="shared" si="13"/>
        <v>420738.34999999922</v>
      </c>
      <c r="E47" s="41">
        <f t="shared" si="13"/>
        <v>378296.79999999923</v>
      </c>
      <c r="F47" s="41">
        <f t="shared" ref="F47:M47" si="15">+E47+F43+E52</f>
        <v>333811.43999999925</v>
      </c>
      <c r="G47" s="108">
        <f t="shared" si="15"/>
        <v>284298.32999999926</v>
      </c>
      <c r="H47" s="40">
        <f t="shared" si="15"/>
        <v>243939.15999999925</v>
      </c>
      <c r="I47" s="41">
        <f t="shared" si="15"/>
        <v>223430.06999999925</v>
      </c>
      <c r="J47" s="61">
        <f t="shared" si="15"/>
        <v>203908.37999999925</v>
      </c>
      <c r="K47" s="120">
        <f t="shared" si="15"/>
        <v>183081.94451999923</v>
      </c>
      <c r="L47" s="41">
        <f t="shared" si="15"/>
        <v>159902.76151999921</v>
      </c>
      <c r="M47" s="61">
        <f t="shared" si="15"/>
        <v>133648.96931999922</v>
      </c>
    </row>
    <row r="48" spans="1:16" x14ac:dyDescent="0.35">
      <c r="C48" s="99"/>
      <c r="D48" s="193"/>
      <c r="E48" s="17"/>
      <c r="F48" s="17"/>
      <c r="G48" s="17"/>
      <c r="H48" s="10"/>
      <c r="I48" s="17"/>
      <c r="J48" s="11"/>
      <c r="K48" s="17"/>
      <c r="L48" s="17"/>
      <c r="M48" s="11"/>
    </row>
    <row r="49" spans="1:16" x14ac:dyDescent="0.35">
      <c r="A49" s="39" t="s">
        <v>121</v>
      </c>
      <c r="B49" s="39"/>
      <c r="C49" s="104"/>
      <c r="D49" s="203"/>
      <c r="E49" s="83">
        <f>+'PCR Cycle 2'!E50</f>
        <v>5.3602700000000003E-3</v>
      </c>
      <c r="F49" s="83">
        <f>+'PCR Cycle 2'!F50</f>
        <v>5.4837899999999997E-3</v>
      </c>
      <c r="G49" s="83">
        <f>+'PCR Cycle 2'!G50</f>
        <v>5.4684599999999996E-3</v>
      </c>
      <c r="H49" s="84">
        <f>+'PCR Cycle 2'!H50</f>
        <v>5.4552200000000002E-3</v>
      </c>
      <c r="I49" s="83">
        <f>+'PCR Cycle 2'!I50</f>
        <v>5.4582900000000002E-3</v>
      </c>
      <c r="J49" s="92">
        <f>+'PCR Cycle 2'!J50</f>
        <v>5.45277E-3</v>
      </c>
      <c r="K49" s="83">
        <f>+'PCR Cycle 2'!K50</f>
        <v>5.45277E-3</v>
      </c>
      <c r="L49" s="83">
        <f>+'PCR Cycle 2'!L50</f>
        <v>5.45277E-3</v>
      </c>
      <c r="M49" s="85"/>
    </row>
    <row r="50" spans="1:16" x14ac:dyDescent="0.35">
      <c r="A50" s="39" t="s">
        <v>36</v>
      </c>
      <c r="B50" s="39"/>
      <c r="C50" s="106"/>
      <c r="D50" s="204"/>
      <c r="E50" s="83"/>
      <c r="F50" s="83"/>
      <c r="G50" s="83"/>
      <c r="H50" s="84"/>
      <c r="I50" s="83"/>
      <c r="J50" s="85"/>
      <c r="K50" s="83"/>
      <c r="L50" s="83"/>
      <c r="M50" s="85"/>
    </row>
    <row r="51" spans="1:16" x14ac:dyDescent="0.35">
      <c r="A51" s="46" t="s">
        <v>24</v>
      </c>
      <c r="C51" s="311">
        <v>-3939.99</v>
      </c>
      <c r="D51" s="202"/>
      <c r="E51" s="244">
        <f>ROUND((D46+D51+E42/2)*E$49,2)</f>
        <v>2085.6799999999998</v>
      </c>
      <c r="F51" s="244">
        <f t="shared" ref="F51:F52" si="16">ROUND((E46+E51+F42/2)*F$49,2)</f>
        <v>1939.43</v>
      </c>
      <c r="G51" s="243">
        <f t="shared" ref="G51:G52" si="17">ROUND((F46+F51+G42/2)*G$49,2)</f>
        <v>1680.66</v>
      </c>
      <c r="H51" s="40">
        <f t="shared" ref="H51:H52" si="18">ROUND((G46+G51+H42/2)*H$49,2)</f>
        <v>1418.22</v>
      </c>
      <c r="I51" s="120">
        <f t="shared" ref="I51:J52" si="19">ROUND((H46+H51+I42/2)*I$49,2)</f>
        <v>1259.77</v>
      </c>
      <c r="J51" s="61">
        <f t="shared" si="19"/>
        <v>1175.8399999999999</v>
      </c>
      <c r="K51" s="159">
        <f t="shared" ref="K51:K52" si="20">ROUND((J46+J51+K42/2)*K$49,2)</f>
        <v>1096.79</v>
      </c>
      <c r="L51" s="108">
        <f t="shared" ref="L51:L52" si="21">ROUND((K46+K51+L42/2)*L$49,2)</f>
        <v>1004.68</v>
      </c>
      <c r="M51" s="61">
        <f t="shared" ref="M51:M52" si="22">ROUND((L46+L51+M42/2)*M$49,2)</f>
        <v>0</v>
      </c>
      <c r="P51" s="186">
        <f t="shared" ref="P51:P52" si="23">-SUM(K51:M51)</f>
        <v>-2101.4699999999998</v>
      </c>
    </row>
    <row r="52" spans="1:16" ht="15" thickBot="1" x14ac:dyDescent="0.4">
      <c r="A52" s="46" t="s">
        <v>25</v>
      </c>
      <c r="C52" s="311">
        <v>-4038.67</v>
      </c>
      <c r="D52" s="202"/>
      <c r="E52" s="244">
        <f>ROUND((D47+D52+E43/2)*E$49,2)</f>
        <v>2141.52</v>
      </c>
      <c r="F52" s="244">
        <f t="shared" si="16"/>
        <v>1958.4</v>
      </c>
      <c r="G52" s="243">
        <f t="shared" si="17"/>
        <v>1695.41</v>
      </c>
      <c r="H52" s="40">
        <f t="shared" si="18"/>
        <v>1445.45</v>
      </c>
      <c r="I52" s="120">
        <f t="shared" si="19"/>
        <v>1279.46</v>
      </c>
      <c r="J52" s="61">
        <f t="shared" si="19"/>
        <v>1168.58</v>
      </c>
      <c r="K52" s="159">
        <f t="shared" si="20"/>
        <v>1058.27</v>
      </c>
      <c r="L52" s="108">
        <f t="shared" si="21"/>
        <v>937.99</v>
      </c>
      <c r="M52" s="61">
        <f t="shared" si="22"/>
        <v>0</v>
      </c>
      <c r="N52" s="4"/>
      <c r="O52" s="4"/>
      <c r="P52" s="186">
        <f t="shared" si="23"/>
        <v>-1996.26</v>
      </c>
    </row>
    <row r="53" spans="1:16" ht="15.5" thickTop="1" thickBot="1" x14ac:dyDescent="0.4">
      <c r="A53" s="54" t="s">
        <v>22</v>
      </c>
      <c r="B53" s="54"/>
      <c r="C53" s="199">
        <v>0</v>
      </c>
      <c r="D53" s="205"/>
      <c r="E53" s="42">
        <f>SUM(E51:E52)+SUM(E46:E47)-E56</f>
        <v>0</v>
      </c>
      <c r="F53" s="42">
        <f t="shared" ref="F53:M53" si="24">SUM(F51:F52)+SUM(F46:F47)-F56</f>
        <v>0</v>
      </c>
      <c r="G53" s="50">
        <f t="shared" si="24"/>
        <v>0</v>
      </c>
      <c r="H53" s="51">
        <f t="shared" si="24"/>
        <v>0</v>
      </c>
      <c r="I53" s="42">
        <f t="shared" si="24"/>
        <v>0</v>
      </c>
      <c r="J53" s="62">
        <f t="shared" si="24"/>
        <v>0</v>
      </c>
      <c r="K53" s="160">
        <f t="shared" si="24"/>
        <v>0</v>
      </c>
      <c r="L53" s="50">
        <f t="shared" si="24"/>
        <v>0</v>
      </c>
      <c r="M53" s="62">
        <f t="shared" si="24"/>
        <v>0</v>
      </c>
    </row>
    <row r="54" spans="1:16" ht="15.5" thickTop="1" thickBot="1" x14ac:dyDescent="0.4">
      <c r="A54" s="54" t="s">
        <v>23</v>
      </c>
      <c r="B54" s="54"/>
      <c r="C54" s="199">
        <v>0</v>
      </c>
      <c r="D54" s="205"/>
      <c r="E54" s="42">
        <f>SUM(E51:E52)-E39</f>
        <v>0</v>
      </c>
      <c r="F54" s="42">
        <f t="shared" ref="F54:J54" si="25">SUM(F51:F52)-F39</f>
        <v>9.9999999997635314E-3</v>
      </c>
      <c r="G54" s="50">
        <f t="shared" ref="G54:I54" si="26">SUM(G51:G52)-G39</f>
        <v>0</v>
      </c>
      <c r="H54" s="51">
        <f t="shared" si="26"/>
        <v>0</v>
      </c>
      <c r="I54" s="42">
        <f t="shared" si="26"/>
        <v>9.9999999997635314E-3</v>
      </c>
      <c r="J54" s="62">
        <f t="shared" si="25"/>
        <v>1.0000000000218279E-2</v>
      </c>
      <c r="K54" s="161">
        <f t="shared" ref="K54:M54" si="27">SUM(K51:K52)-K39</f>
        <v>0</v>
      </c>
      <c r="L54" s="42">
        <f t="shared" si="27"/>
        <v>0</v>
      </c>
      <c r="M54" s="42">
        <f t="shared" si="27"/>
        <v>0</v>
      </c>
    </row>
    <row r="55" spans="1:16" ht="15.5" thickTop="1" thickBot="1" x14ac:dyDescent="0.4">
      <c r="C55" s="99"/>
      <c r="D55" s="193"/>
      <c r="E55" s="17"/>
      <c r="F55" s="17"/>
      <c r="G55" s="17"/>
      <c r="H55" s="10"/>
      <c r="I55" s="17"/>
      <c r="J55" s="11"/>
      <c r="K55" s="17"/>
      <c r="L55" s="17"/>
      <c r="M55" s="11"/>
    </row>
    <row r="56" spans="1:16" ht="15" thickBot="1" x14ac:dyDescent="0.4">
      <c r="A56" s="46" t="s">
        <v>35</v>
      </c>
      <c r="B56" s="116">
        <f>+B46+B47</f>
        <v>550589.72019999905</v>
      </c>
      <c r="C56" s="198">
        <f>(C16-SUM(C19:C23))+SUM(C51:C52)+B56</f>
        <v>826139.64999999898</v>
      </c>
      <c r="D56" s="202">
        <f>(D16-SUM(D19:D23))+SUM(D51:D52)+C56</f>
        <v>826139.64999999898</v>
      </c>
      <c r="E56" s="41">
        <f>(E16-SUM(E19:E23))+SUM(E51:E52)+D56</f>
        <v>755321.57999999891</v>
      </c>
      <c r="F56" s="244">
        <f t="shared" ref="F56:M56" si="28">(F16-SUM(F19:F23))+SUM(F51:F52)+E56</f>
        <v>670156.74999999895</v>
      </c>
      <c r="G56" s="108">
        <f t="shared" si="28"/>
        <v>567961.05999999901</v>
      </c>
      <c r="H56" s="40">
        <f t="shared" si="28"/>
        <v>484786.90999999898</v>
      </c>
      <c r="I56" s="41">
        <f t="shared" si="28"/>
        <v>448165.179999999</v>
      </c>
      <c r="J56" s="61">
        <f t="shared" si="28"/>
        <v>414077.68999999901</v>
      </c>
      <c r="K56" s="159">
        <f t="shared" si="28"/>
        <v>378523.10601999902</v>
      </c>
      <c r="L56" s="108">
        <f t="shared" si="28"/>
        <v>335965.48471999902</v>
      </c>
      <c r="M56" s="61">
        <f t="shared" si="28"/>
        <v>279015.33421999903</v>
      </c>
    </row>
    <row r="57" spans="1:16" x14ac:dyDescent="0.35">
      <c r="A57" s="46" t="s">
        <v>12</v>
      </c>
      <c r="C57" s="117"/>
      <c r="D57" s="206"/>
      <c r="E57" s="17"/>
      <c r="F57" s="17"/>
      <c r="G57" s="17"/>
      <c r="H57" s="10"/>
      <c r="I57" s="17"/>
      <c r="J57" s="11"/>
      <c r="K57" s="17"/>
      <c r="L57" s="17"/>
      <c r="M57" s="11"/>
    </row>
    <row r="58" spans="1:16" ht="15" thickBot="1" x14ac:dyDescent="0.4">
      <c r="A58" s="37"/>
      <c r="B58" s="37"/>
      <c r="C58" s="144"/>
      <c r="D58" s="207"/>
      <c r="E58" s="44"/>
      <c r="F58" s="44"/>
      <c r="G58" s="44"/>
      <c r="H58" s="43"/>
      <c r="I58" s="44"/>
      <c r="J58" s="45"/>
      <c r="K58" s="44"/>
      <c r="L58" s="44"/>
      <c r="M58" s="45"/>
    </row>
    <row r="60" spans="1:16" x14ac:dyDescent="0.35">
      <c r="A60" s="69" t="s">
        <v>11</v>
      </c>
      <c r="B60" s="69"/>
      <c r="C60" s="69"/>
      <c r="D60" s="69"/>
    </row>
    <row r="61" spans="1:16" ht="34.5" customHeight="1" x14ac:dyDescent="0.35">
      <c r="A61" s="350" t="s">
        <v>226</v>
      </c>
      <c r="B61" s="350"/>
      <c r="C61" s="350"/>
      <c r="D61" s="350"/>
      <c r="E61" s="350"/>
      <c r="F61" s="350"/>
      <c r="G61" s="350"/>
      <c r="H61" s="350"/>
      <c r="I61" s="350"/>
      <c r="J61" s="350"/>
      <c r="K61" s="188"/>
      <c r="L61" s="142"/>
      <c r="M61" s="142"/>
    </row>
    <row r="62" spans="1:16" ht="60.75" customHeight="1" x14ac:dyDescent="0.35">
      <c r="A62" s="350" t="s">
        <v>296</v>
      </c>
      <c r="B62" s="350"/>
      <c r="C62" s="350"/>
      <c r="D62" s="350"/>
      <c r="E62" s="350"/>
      <c r="F62" s="350"/>
      <c r="G62" s="350"/>
      <c r="H62" s="350"/>
      <c r="I62" s="350"/>
      <c r="J62" s="350"/>
      <c r="K62" s="350"/>
      <c r="L62" s="142"/>
      <c r="M62" s="142"/>
    </row>
    <row r="63" spans="1:16" ht="33.75" customHeight="1" x14ac:dyDescent="0.35">
      <c r="A63" s="350" t="s">
        <v>225</v>
      </c>
      <c r="B63" s="350"/>
      <c r="C63" s="350"/>
      <c r="D63" s="350"/>
      <c r="E63" s="350"/>
      <c r="F63" s="350"/>
      <c r="G63" s="350"/>
      <c r="H63" s="350"/>
      <c r="I63" s="350"/>
      <c r="J63" s="350"/>
      <c r="K63" s="330"/>
      <c r="L63" s="142"/>
      <c r="M63" s="142"/>
    </row>
    <row r="64" spans="1:16" x14ac:dyDescent="0.35">
      <c r="A64" s="350" t="s">
        <v>304</v>
      </c>
      <c r="B64" s="350"/>
      <c r="C64" s="350"/>
      <c r="D64" s="350"/>
      <c r="E64" s="350"/>
      <c r="F64" s="350"/>
      <c r="G64" s="350"/>
      <c r="H64" s="350"/>
      <c r="I64" s="350"/>
      <c r="J64" s="350"/>
      <c r="K64" s="39"/>
    </row>
    <row r="65" spans="1:11" x14ac:dyDescent="0.35">
      <c r="A65" s="63" t="s">
        <v>289</v>
      </c>
      <c r="B65" s="63"/>
      <c r="C65" s="63"/>
      <c r="D65" s="63"/>
      <c r="E65" s="39"/>
      <c r="F65" s="39"/>
      <c r="G65" s="39"/>
      <c r="H65" s="39"/>
      <c r="I65" s="39"/>
      <c r="J65" s="39"/>
      <c r="K65" s="39"/>
    </row>
    <row r="66" spans="1:11" x14ac:dyDescent="0.35">
      <c r="A66" s="3" t="s">
        <v>68</v>
      </c>
      <c r="B66" s="3"/>
      <c r="C66" s="3"/>
      <c r="D66" s="3"/>
    </row>
    <row r="67" spans="1:11" x14ac:dyDescent="0.35">
      <c r="A67" s="3" t="s">
        <v>182</v>
      </c>
      <c r="B67" s="3"/>
      <c r="C67" s="3"/>
      <c r="D67" s="3"/>
    </row>
    <row r="69" spans="1:11" ht="31.5" customHeight="1" x14ac:dyDescent="0.35">
      <c r="A69" s="346"/>
      <c r="B69" s="346"/>
      <c r="C69" s="346"/>
      <c r="D69" s="346"/>
      <c r="E69" s="346"/>
      <c r="F69" s="346"/>
      <c r="G69" s="346"/>
    </row>
  </sheetData>
  <mergeCells count="8">
    <mergeCell ref="A69:G69"/>
    <mergeCell ref="A63:J63"/>
    <mergeCell ref="E14:G14"/>
    <mergeCell ref="A61:J61"/>
    <mergeCell ref="A62:K62"/>
    <mergeCell ref="H14:J14"/>
    <mergeCell ref="K14:M14"/>
    <mergeCell ref="A64:J64"/>
  </mergeCells>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85" zoomScaleNormal="85" workbookViewId="0">
      <selection activeCell="E2" sqref="E2"/>
    </sheetView>
  </sheetViews>
  <sheetFormatPr defaultColWidth="9.1796875" defaultRowHeight="14.5" outlineLevelCol="1" x14ac:dyDescent="0.35"/>
  <cols>
    <col min="1" max="1" width="37"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customWidth="1" outlineLevel="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06/01/2024</v>
      </c>
      <c r="B1" s="3"/>
      <c r="C1" s="3"/>
      <c r="D1" s="3"/>
    </row>
    <row r="2" spans="1:35" x14ac:dyDescent="0.35">
      <c r="E2" s="3" t="s">
        <v>138</v>
      </c>
    </row>
    <row r="3" spans="1:35" ht="29" x14ac:dyDescent="0.35">
      <c r="E3" s="48" t="s">
        <v>45</v>
      </c>
      <c r="F3" s="70" t="s">
        <v>69</v>
      </c>
      <c r="G3" s="70" t="s">
        <v>53</v>
      </c>
      <c r="H3" s="48" t="s">
        <v>3</v>
      </c>
      <c r="I3" s="70" t="s">
        <v>54</v>
      </c>
      <c r="J3" s="48" t="s">
        <v>10</v>
      </c>
      <c r="K3" s="48" t="s">
        <v>9</v>
      </c>
      <c r="S3" s="48"/>
    </row>
    <row r="4" spans="1:35" x14ac:dyDescent="0.35">
      <c r="A4" s="20" t="s">
        <v>24</v>
      </c>
      <c r="B4" s="20"/>
      <c r="C4" s="20"/>
      <c r="D4" s="20"/>
      <c r="E4" s="22">
        <f>SUM(C16:M16)</f>
        <v>774464.03694000002</v>
      </c>
      <c r="F4" s="134">
        <f>N23</f>
        <v>16084461.229081562</v>
      </c>
      <c r="G4" s="22">
        <f>SUM(C30:L30)</f>
        <v>920760.57</v>
      </c>
      <c r="H4" s="22">
        <f>G4-E4</f>
        <v>146296.53305999993</v>
      </c>
      <c r="I4" s="22">
        <f>+B46</f>
        <v>-262333.61471999984</v>
      </c>
      <c r="J4" s="22">
        <f>SUM(C54:L54)</f>
        <v>-1510.3300000000004</v>
      </c>
      <c r="K4" s="25">
        <f>SUM(H4:J4)</f>
        <v>-117547.41165999991</v>
      </c>
      <c r="L4" s="47">
        <f>+K4-M46</f>
        <v>0</v>
      </c>
    </row>
    <row r="5" spans="1:35" x14ac:dyDescent="0.35">
      <c r="A5" s="20" t="s">
        <v>104</v>
      </c>
      <c r="B5" s="20"/>
      <c r="C5" s="20"/>
      <c r="D5" s="20"/>
      <c r="E5" s="22">
        <f t="shared" ref="E5:E7" si="0">SUM(C17:M17)</f>
        <v>128134.20407000001</v>
      </c>
      <c r="F5" s="134">
        <f t="shared" ref="F5:F7" si="1">N24</f>
        <v>2699850.8277033572</v>
      </c>
      <c r="G5" s="22">
        <f t="shared" ref="G5:G7" si="2">SUM(C31:L31)</f>
        <v>177140.07</v>
      </c>
      <c r="H5" s="22">
        <f t="shared" ref="H5:H7" si="3">G5-E5</f>
        <v>49005.86593</v>
      </c>
      <c r="I5" s="22">
        <f t="shared" ref="I5:I7" si="4">+B47</f>
        <v>-93527.874740000072</v>
      </c>
      <c r="J5" s="22">
        <f t="shared" ref="J5:J7" si="5">SUM(C55:L55)</f>
        <v>-1948.8</v>
      </c>
      <c r="K5" s="25">
        <f t="shared" ref="K5:K7" si="6">SUM(H5:J5)</f>
        <v>-46470.808810000075</v>
      </c>
      <c r="L5" s="47">
        <f>+K5-M47</f>
        <v>0</v>
      </c>
    </row>
    <row r="6" spans="1:35" x14ac:dyDescent="0.35">
      <c r="A6" s="20" t="s">
        <v>105</v>
      </c>
      <c r="B6" s="20"/>
      <c r="C6" s="20"/>
      <c r="D6" s="20"/>
      <c r="E6" s="22">
        <f t="shared" si="0"/>
        <v>264520.82543999999</v>
      </c>
      <c r="F6" s="134">
        <f t="shared" si="1"/>
        <v>12020909.400794126</v>
      </c>
      <c r="G6" s="22">
        <f t="shared" si="2"/>
        <v>538170.06999999995</v>
      </c>
      <c r="H6" s="22">
        <f t="shared" si="3"/>
        <v>273649.24455999996</v>
      </c>
      <c r="I6" s="22">
        <f t="shared" si="4"/>
        <v>-1258.1679100000315</v>
      </c>
      <c r="J6" s="22">
        <f t="shared" si="5"/>
        <v>5609.77</v>
      </c>
      <c r="K6" s="25">
        <f t="shared" si="6"/>
        <v>278000.84664999996</v>
      </c>
      <c r="L6" s="47">
        <f>+K6-M48</f>
        <v>0</v>
      </c>
    </row>
    <row r="7" spans="1:35" x14ac:dyDescent="0.35">
      <c r="A7" s="20" t="s">
        <v>106</v>
      </c>
      <c r="B7" s="20"/>
      <c r="C7" s="20"/>
      <c r="D7" s="20"/>
      <c r="E7" s="22">
        <f t="shared" si="0"/>
        <v>248878.66036000004</v>
      </c>
      <c r="F7" s="134">
        <f t="shared" si="1"/>
        <v>14050817.499471109</v>
      </c>
      <c r="G7" s="22">
        <f t="shared" si="2"/>
        <v>397249.33000000007</v>
      </c>
      <c r="H7" s="22">
        <f t="shared" si="3"/>
        <v>148370.66964000004</v>
      </c>
      <c r="I7" s="22">
        <f t="shared" si="4"/>
        <v>-49147.558880000004</v>
      </c>
      <c r="J7" s="22">
        <f t="shared" si="5"/>
        <v>2051.31</v>
      </c>
      <c r="K7" s="25">
        <f t="shared" si="6"/>
        <v>101274.42076000004</v>
      </c>
      <c r="L7" s="47">
        <f>+K7-M49</f>
        <v>0</v>
      </c>
    </row>
    <row r="8" spans="1:35" ht="15" thickBot="1" x14ac:dyDescent="0.4">
      <c r="A8" s="20" t="s">
        <v>107</v>
      </c>
      <c r="B8" s="20"/>
      <c r="C8" s="20"/>
      <c r="D8" s="20"/>
      <c r="E8" s="22">
        <f>SUM(C20:M20)</f>
        <v>18171.835640000001</v>
      </c>
      <c r="F8" s="134">
        <f>N27</f>
        <v>2035547.001198024</v>
      </c>
      <c r="G8" s="22">
        <f>SUM(C34:L34)</f>
        <v>24686.120000000003</v>
      </c>
      <c r="H8" s="22">
        <f>G8-E8</f>
        <v>6514.2843600000015</v>
      </c>
      <c r="I8" s="22">
        <f>+B50</f>
        <v>-13086.835399999985</v>
      </c>
      <c r="J8" s="22">
        <f>SUM(C58:L58)</f>
        <v>-265.31</v>
      </c>
      <c r="K8" s="25">
        <f>SUM(H8:J8)</f>
        <v>-6837.8610399999843</v>
      </c>
      <c r="L8" s="47">
        <f>+K8-M50</f>
        <v>0</v>
      </c>
    </row>
    <row r="9" spans="1:35" ht="15.5" thickTop="1" thickBot="1" x14ac:dyDescent="0.4">
      <c r="E9" s="27">
        <f t="shared" ref="E9:I9" si="7">SUM(E4:E8)</f>
        <v>1434169.5624500001</v>
      </c>
      <c r="F9" s="135">
        <f t="shared" si="7"/>
        <v>46891585.958248183</v>
      </c>
      <c r="G9" s="27">
        <f t="shared" si="7"/>
        <v>2058006.1600000001</v>
      </c>
      <c r="H9" s="27">
        <f t="shared" si="7"/>
        <v>623836.59754999995</v>
      </c>
      <c r="I9" s="27">
        <f t="shared" si="7"/>
        <v>-419354.05164999992</v>
      </c>
      <c r="J9" s="27">
        <f>SUM(J4:J8)</f>
        <v>3936.6400000000008</v>
      </c>
      <c r="K9" s="27">
        <f>SUM(K4:K8)</f>
        <v>208419.18590000001</v>
      </c>
      <c r="T9" s="5"/>
    </row>
    <row r="10" spans="1:35" ht="15.5" thickTop="1" thickBot="1" x14ac:dyDescent="0.4">
      <c r="K10" s="225"/>
      <c r="L10" s="224"/>
    </row>
    <row r="11" spans="1:35" ht="116.5" thickBot="1" x14ac:dyDescent="0.4">
      <c r="B11" s="115" t="str">
        <f>+'PCR Cycle 2'!B14</f>
        <v>Cumulative Over/Under Carryover From 12/01/2023 Filing</v>
      </c>
      <c r="C11" s="149" t="str">
        <f>+'PCR Cycle 2'!C14</f>
        <v>Reverse November 2023 - January 2024 Forecast From 12/01/2023 Filing</v>
      </c>
      <c r="D11" s="208">
        <f>+'PCR Cycle 2'!D14</f>
        <v>0</v>
      </c>
      <c r="E11" s="351" t="s">
        <v>32</v>
      </c>
      <c r="F11" s="351"/>
      <c r="G11" s="352"/>
      <c r="H11" s="358" t="s">
        <v>32</v>
      </c>
      <c r="I11" s="359"/>
      <c r="J11" s="360"/>
      <c r="K11" s="347" t="s">
        <v>8</v>
      </c>
      <c r="L11" s="348"/>
      <c r="M11" s="349"/>
      <c r="P11" s="290" t="s">
        <v>237</v>
      </c>
    </row>
    <row r="12" spans="1:35" x14ac:dyDescent="0.35">
      <c r="A12" s="46" t="s">
        <v>62</v>
      </c>
      <c r="C12" s="105"/>
      <c r="D12" s="209"/>
      <c r="E12" s="19">
        <f>+'PCR Cycle 2'!E15</f>
        <v>45260</v>
      </c>
      <c r="F12" s="19">
        <f t="shared" ref="F12:M12" si="8">EOMONTH(E12,1)</f>
        <v>45291</v>
      </c>
      <c r="G12" s="19">
        <f t="shared" si="8"/>
        <v>45322</v>
      </c>
      <c r="H12" s="14">
        <f t="shared" si="8"/>
        <v>45351</v>
      </c>
      <c r="I12" s="19">
        <f t="shared" si="8"/>
        <v>45382</v>
      </c>
      <c r="J12" s="15">
        <f t="shared" si="8"/>
        <v>45412</v>
      </c>
      <c r="K12" s="19">
        <f t="shared" si="8"/>
        <v>45443</v>
      </c>
      <c r="L12" s="19">
        <f t="shared" si="8"/>
        <v>45473</v>
      </c>
      <c r="M12" s="15">
        <f t="shared" si="8"/>
        <v>45504</v>
      </c>
      <c r="P12" s="186"/>
      <c r="Z12" s="1"/>
      <c r="AA12" s="1"/>
      <c r="AB12" s="1"/>
      <c r="AC12" s="1"/>
      <c r="AD12" s="1"/>
      <c r="AE12" s="1"/>
      <c r="AF12" s="1"/>
      <c r="AG12" s="1"/>
      <c r="AH12" s="1"/>
      <c r="AI12" s="1"/>
    </row>
    <row r="13" spans="1:35" x14ac:dyDescent="0.35">
      <c r="A13" s="46" t="s">
        <v>5</v>
      </c>
      <c r="C13" s="189">
        <v>-445528.39</v>
      </c>
      <c r="D13" s="192"/>
      <c r="E13" s="109">
        <f t="shared" ref="E13:L13" si="9">SUM(E30:E34)</f>
        <v>235999.97999999998</v>
      </c>
      <c r="F13" s="109">
        <f t="shared" si="9"/>
        <v>265563.27</v>
      </c>
      <c r="G13" s="110">
        <f t="shared" si="9"/>
        <v>283137.99</v>
      </c>
      <c r="H13" s="16">
        <f t="shared" si="9"/>
        <v>269015.73</v>
      </c>
      <c r="I13" s="55">
        <f t="shared" si="9"/>
        <v>298289.88999999996</v>
      </c>
      <c r="J13" s="162">
        <f t="shared" si="9"/>
        <v>306448.7</v>
      </c>
      <c r="K13" s="155">
        <f t="shared" si="9"/>
        <v>338644.77999999997</v>
      </c>
      <c r="L13" s="78">
        <f t="shared" si="9"/>
        <v>506434.21</v>
      </c>
      <c r="M13" s="79"/>
      <c r="P13" s="186">
        <f>-SUM(K13:M13)</f>
        <v>-845078.99</v>
      </c>
    </row>
    <row r="14" spans="1:35" x14ac:dyDescent="0.35">
      <c r="C14" s="99"/>
      <c r="D14" s="193"/>
      <c r="E14" s="17"/>
      <c r="F14" s="17"/>
      <c r="G14" s="17"/>
      <c r="H14" s="10"/>
      <c r="I14" s="17"/>
      <c r="J14" s="11"/>
      <c r="K14" s="31"/>
      <c r="L14" s="31"/>
      <c r="M14" s="29"/>
      <c r="P14" s="186"/>
    </row>
    <row r="15" spans="1:35" x14ac:dyDescent="0.35">
      <c r="A15" s="46" t="s">
        <v>61</v>
      </c>
      <c r="C15" s="99"/>
      <c r="D15" s="193"/>
      <c r="E15" s="18"/>
      <c r="F15" s="18"/>
      <c r="G15" s="18"/>
      <c r="H15" s="91"/>
      <c r="I15" s="18"/>
      <c r="J15" s="163"/>
      <c r="K15" s="31"/>
      <c r="L15" s="31"/>
      <c r="M15" s="29"/>
      <c r="N15" s="3" t="s">
        <v>66</v>
      </c>
      <c r="O15" s="39"/>
      <c r="P15" s="186"/>
    </row>
    <row r="16" spans="1:35" x14ac:dyDescent="0.35">
      <c r="A16" s="46" t="s">
        <v>24</v>
      </c>
      <c r="C16" s="189">
        <v>-452968.38471999997</v>
      </c>
      <c r="D16" s="192"/>
      <c r="E16" s="132">
        <f>'[4]November 2023'!$G104</f>
        <v>104016.28</v>
      </c>
      <c r="F16" s="132">
        <f>'[4]December 2023'!$G104</f>
        <v>135379.26</v>
      </c>
      <c r="G16" s="132">
        <f>'[4]January 2024'!$G104</f>
        <v>172444.94</v>
      </c>
      <c r="H16" s="16">
        <f>'[4]February 2024'!$G104</f>
        <v>165062.06</v>
      </c>
      <c r="I16" s="118">
        <f>'[4]March 2024'!$G104</f>
        <v>113014.3</v>
      </c>
      <c r="J16" s="167">
        <f>'[4]April 2024'!$G104</f>
        <v>103659.07</v>
      </c>
      <c r="K16" s="120">
        <f>'PCR Cycle 2'!K27*'TDR Cycle 3'!$N16</f>
        <v>103716.5481</v>
      </c>
      <c r="L16" s="41">
        <f>'PCR Cycle 2'!L27*'TDR Cycle 3'!$N16</f>
        <v>133734.73277999999</v>
      </c>
      <c r="M16" s="61">
        <f>'PCR Cycle 2'!M27*'TDR Cycle 3'!$N16</f>
        <v>196405.23078000001</v>
      </c>
      <c r="N16" s="72">
        <v>6.6E-4</v>
      </c>
      <c r="O16" s="4"/>
      <c r="P16" s="186">
        <f t="shared" ref="P16:P20" si="10">-SUM(K16:M16)</f>
        <v>-433856.51165999996</v>
      </c>
    </row>
    <row r="17" spans="1:16" x14ac:dyDescent="0.35">
      <c r="A17" s="46" t="s">
        <v>104</v>
      </c>
      <c r="C17" s="189">
        <v>-48906.454740000001</v>
      </c>
      <c r="D17" s="192"/>
      <c r="E17" s="132">
        <f>'[4]November 2023'!$G105</f>
        <v>14704.77</v>
      </c>
      <c r="F17" s="132">
        <f>'[4]December 2023'!$G105</f>
        <v>17087.650000000001</v>
      </c>
      <c r="G17" s="132">
        <f>'[4]January 2024'!$G105</f>
        <v>19968.11</v>
      </c>
      <c r="H17" s="16">
        <f>'[4]February 2024'!$G105</f>
        <v>20421.07</v>
      </c>
      <c r="I17" s="118">
        <f>'[4]March 2024'!$G105</f>
        <v>19582.5</v>
      </c>
      <c r="J17" s="167">
        <f>'[4]April 2024'!$G105</f>
        <v>18533.79</v>
      </c>
      <c r="K17" s="120">
        <f>'PCR Cycle 2'!K28*'TDR Cycle 3'!$N17</f>
        <v>19993.5065</v>
      </c>
      <c r="L17" s="41">
        <f>'PCR Cycle 2'!L28*'TDR Cycle 3'!$N17</f>
        <v>22031.885869999998</v>
      </c>
      <c r="M17" s="61">
        <f>'PCR Cycle 2'!M28*'TDR Cycle 3'!$N17</f>
        <v>24717.37644</v>
      </c>
      <c r="N17" s="72">
        <v>4.0999999999999999E-4</v>
      </c>
      <c r="O17" s="4"/>
      <c r="P17" s="186">
        <f t="shared" si="10"/>
        <v>-66742.768810000009</v>
      </c>
    </row>
    <row r="18" spans="1:16" x14ac:dyDescent="0.35">
      <c r="A18" s="46" t="s">
        <v>105</v>
      </c>
      <c r="C18" s="189">
        <v>-117179.91791000002</v>
      </c>
      <c r="D18" s="192"/>
      <c r="E18" s="132">
        <f>'[4]November 2023'!$G106</f>
        <v>33816.97</v>
      </c>
      <c r="F18" s="132">
        <f>'[4]December 2023'!$G106</f>
        <v>37381.54</v>
      </c>
      <c r="G18" s="132">
        <f>'[4]January 2024'!$G106</f>
        <v>41747.24</v>
      </c>
      <c r="H18" s="16">
        <f>'[4]February 2024'!$G106</f>
        <v>43174.6</v>
      </c>
      <c r="I18" s="118">
        <f>'[4]March 2024'!$G106</f>
        <v>40693.79</v>
      </c>
      <c r="J18" s="167">
        <f>'[4]April 2024'!$G106</f>
        <v>38906.71</v>
      </c>
      <c r="K18" s="120">
        <f>'PCR Cycle 2'!K29*'TDR Cycle 3'!$N18</f>
        <v>43729.830150000002</v>
      </c>
      <c r="L18" s="41">
        <f>'PCR Cycle 2'!L29*'TDR Cycle 3'!$N18</f>
        <v>48188.177220000005</v>
      </c>
      <c r="M18" s="61">
        <f>'PCR Cycle 2'!M29*'TDR Cycle 3'!$N18</f>
        <v>54061.885980000006</v>
      </c>
      <c r="N18" s="72">
        <v>5.1000000000000004E-4</v>
      </c>
      <c r="O18" s="4"/>
      <c r="P18" s="186">
        <f t="shared" si="10"/>
        <v>-145979.89335000003</v>
      </c>
    </row>
    <row r="19" spans="1:16" x14ac:dyDescent="0.35">
      <c r="A19" s="46" t="s">
        <v>106</v>
      </c>
      <c r="C19" s="189">
        <v>-101464.78887999999</v>
      </c>
      <c r="D19" s="192"/>
      <c r="E19" s="132">
        <f>'[4]November 2023'!$G107</f>
        <v>30257.58</v>
      </c>
      <c r="F19" s="132">
        <f>'[4]December 2023'!$G107</f>
        <v>33304</v>
      </c>
      <c r="G19" s="132">
        <f>'[4]January 2024'!$G107</f>
        <v>36083.480000000003</v>
      </c>
      <c r="H19" s="16">
        <f>'[4]February 2024'!$G107</f>
        <v>38558.1</v>
      </c>
      <c r="I19" s="118">
        <f>'[4]March 2024'!$G107</f>
        <v>40998.49</v>
      </c>
      <c r="J19" s="167">
        <f>'[4]April 2024'!$G107</f>
        <v>39186.07</v>
      </c>
      <c r="K19" s="120">
        <f>'PCR Cycle 2'!K30*'TDR Cycle 3'!$N19</f>
        <v>39528.742610000001</v>
      </c>
      <c r="L19" s="41">
        <f>'PCR Cycle 2'!L30*'TDR Cycle 3'!$N19</f>
        <v>43558.780100000004</v>
      </c>
      <c r="M19" s="61">
        <f>'PCR Cycle 2'!M30*'TDR Cycle 3'!$N19</f>
        <v>48868.206530000003</v>
      </c>
      <c r="N19" s="72">
        <v>2.9E-4</v>
      </c>
      <c r="O19" s="4"/>
      <c r="P19" s="186">
        <f t="shared" si="10"/>
        <v>-131955.72924000002</v>
      </c>
    </row>
    <row r="20" spans="1:16" x14ac:dyDescent="0.35">
      <c r="A20" s="46" t="s">
        <v>107</v>
      </c>
      <c r="C20" s="189">
        <v>-5737.0054</v>
      </c>
      <c r="D20" s="192"/>
      <c r="E20" s="132">
        <f>'[4]November 2023'!$G108</f>
        <v>1993.89</v>
      </c>
      <c r="F20" s="132">
        <f>'[4]December 2023'!$G108</f>
        <v>1995.65</v>
      </c>
      <c r="G20" s="132">
        <f>'[4]January 2024'!$G108</f>
        <v>2085.15</v>
      </c>
      <c r="H20" s="16">
        <f>'[4]February 2024'!$G108</f>
        <v>2466.65</v>
      </c>
      <c r="I20" s="118">
        <f>'[4]March 2024'!$G108</f>
        <v>2852.89</v>
      </c>
      <c r="J20" s="167">
        <f>'[4]April 2024'!$G108</f>
        <v>2843.45</v>
      </c>
      <c r="K20" s="120">
        <f>'PCR Cycle 2'!K31*'TDR Cycle 3'!$N20</f>
        <v>2897.0992000000001</v>
      </c>
      <c r="L20" s="41">
        <f>'PCR Cycle 2'!L31*'TDR Cycle 3'!$N20</f>
        <v>3192.4644800000001</v>
      </c>
      <c r="M20" s="61">
        <f>'PCR Cycle 2'!M31*'TDR Cycle 3'!$N20</f>
        <v>3581.5973600000002</v>
      </c>
      <c r="N20" s="72">
        <v>8.0000000000000007E-5</v>
      </c>
      <c r="O20" s="4"/>
      <c r="P20" s="186">
        <f t="shared" si="10"/>
        <v>-9671.1610400000009</v>
      </c>
    </row>
    <row r="21" spans="1:16" x14ac:dyDescent="0.35">
      <c r="C21" s="67"/>
      <c r="D21" s="194"/>
      <c r="E21" s="68"/>
      <c r="F21" s="68"/>
      <c r="G21" s="68"/>
      <c r="H21" s="67"/>
      <c r="I21" s="68"/>
      <c r="J21" s="165"/>
      <c r="K21" s="56"/>
      <c r="L21" s="56"/>
      <c r="M21" s="13"/>
      <c r="O21" s="4"/>
    </row>
    <row r="22" spans="1:16" x14ac:dyDescent="0.35">
      <c r="A22" s="39" t="s">
        <v>65</v>
      </c>
      <c r="B22" s="39"/>
      <c r="C22" s="67"/>
      <c r="D22" s="194"/>
      <c r="E22" s="56"/>
      <c r="F22" s="56"/>
      <c r="G22" s="56"/>
      <c r="H22" s="12"/>
      <c r="I22" s="56"/>
      <c r="J22" s="166"/>
      <c r="K22" s="56"/>
      <c r="L22" s="56"/>
      <c r="M22" s="13"/>
      <c r="N22" s="7"/>
    </row>
    <row r="23" spans="1:16" x14ac:dyDescent="0.35">
      <c r="A23" s="46" t="s">
        <v>24</v>
      </c>
      <c r="C23" s="190">
        <v>-4450411.3509184383</v>
      </c>
      <c r="D23" s="195"/>
      <c r="E23" s="111">
        <f>ROUND(SUM('[13]Monthly TD Calc-PY1-3'!AY461:AY461)+SUM('[13]Monthly TD Calc-PY4'!AY469:AY469)+SUM('[13]Monthly TD Calc-PY5'!AY569:AY569),4)</f>
        <v>2229083.2590000001</v>
      </c>
      <c r="F23" s="111">
        <f>ROUND(SUM('[13]Monthly TD Calc-PY1-3'!AZ461:AZ461)+SUM('[13]Monthly TD Calc-PY4'!AZ469:AZ469)+SUM('[13]Monthly TD Calc-PY5'!AZ569:AZ569),4)</f>
        <v>2682283.0443000002</v>
      </c>
      <c r="G23" s="122">
        <f>ROUND(SUM('[13]Monthly TD Calc-PY1-3'!BA461:BA461)+SUM('[13]Monthly TD Calc-PY4'!BA469:BA469)+SUM('[13]Monthly TD Calc-PY5'!BA569:BA569),4)</f>
        <v>2749285.2426</v>
      </c>
      <c r="H23" s="74">
        <f>ROUND(SUM('[13]Monthly TD Calc-PY1-3'!BB461:BB461)+SUM('[13]Monthly TD Calc-PY4'!BB469:BB469)+SUM('[13]Monthly TD Calc-PY5'!BB569:BB569),4)</f>
        <v>2481303.0833999999</v>
      </c>
      <c r="I23" s="75">
        <f>ROUND(SUM('[13]Monthly TD Calc-PY1-3'!BC461:BC461)+SUM('[13]Monthly TD Calc-PY4'!BC469:BC469)+SUM('[13]Monthly TD Calc-PY5'!BC569:BC569),4)</f>
        <v>2534036.9917000001</v>
      </c>
      <c r="J23" s="167">
        <f>ROUND(SUM('[13]Monthly TD Calc-PY1-3'!BD461:BD461)+SUM('[13]Monthly TD Calc-PY4'!BD469:BD469)+SUM('[13]Monthly TD Calc-PY5'!BD569:BD569),4)</f>
        <v>2465177.4994000001</v>
      </c>
      <c r="K23" s="156">
        <f>ROUND(SUM('[13]Monthly TD Calc-PY1-3'!BE461:BE461)+SUM('[13]Monthly TD Calc-PY4'!BE469:BE469)+SUM('[13]Monthly TD Calc-PY5'!BE569:BE569),4)</f>
        <v>2653885.3958000001</v>
      </c>
      <c r="L23" s="156">
        <f>ROUND(SUM('[13]Monthly TD Calc-PY1-3'!BF461:BF461)+SUM('[13]Monthly TD Calc-PY4'!BF469:BF469)+SUM('[13]Monthly TD Calc-PY5'!BF569:BF569),4)</f>
        <v>2739818.0638000001</v>
      </c>
      <c r="M23" s="80"/>
      <c r="N23" s="59">
        <f>SUM(C23:L23)</f>
        <v>16084461.229081562</v>
      </c>
      <c r="P23" s="186">
        <f t="shared" ref="P23:P27" si="11">-SUM(K23:M23)</f>
        <v>-5393703.4595999997</v>
      </c>
    </row>
    <row r="24" spans="1:16" x14ac:dyDescent="0.35">
      <c r="A24" s="46" t="s">
        <v>104</v>
      </c>
      <c r="C24" s="190">
        <v>-728043.42709664255</v>
      </c>
      <c r="D24" s="195"/>
      <c r="E24" s="111">
        <f>ROUND(SUM('[13]Monthly TD Calc-PY1-3'!AY462:AY462)+SUM('[13]Monthly TD Calc-PY4'!AY470:AY470)+SUM('[13]Monthly TD Calc-PY5'!AY570:AY570),4)</f>
        <v>345679.50390000001</v>
      </c>
      <c r="F24" s="111">
        <f>ROUND(SUM('[13]Monthly TD Calc-PY1-3'!AZ462:AZ462)+SUM('[13]Monthly TD Calc-PY4'!AZ470:AZ470)+SUM('[13]Monthly TD Calc-PY5'!AZ570:AZ570),4)</f>
        <v>356163.48509999999</v>
      </c>
      <c r="G24" s="122">
        <f>ROUND(SUM('[13]Monthly TD Calc-PY1-3'!BA462:BA462)+SUM('[13]Monthly TD Calc-PY4'!BA470:BA470)+SUM('[13]Monthly TD Calc-PY5'!BA570:BA570),4)</f>
        <v>416422.05499999999</v>
      </c>
      <c r="H24" s="74">
        <f>ROUND(SUM('[13]Monthly TD Calc-PY1-3'!BB462:BB462)+SUM('[13]Monthly TD Calc-PY4'!BB470:BB470)+SUM('[13]Monthly TD Calc-PY5'!BB570:BB570),4)</f>
        <v>409380.09409999999</v>
      </c>
      <c r="I24" s="75">
        <f>ROUND(SUM('[13]Monthly TD Calc-PY1-3'!BC462:BC462)+SUM('[13]Monthly TD Calc-PY4'!BC470:BC470)+SUM('[13]Monthly TD Calc-PY5'!BC570:BC570),4)</f>
        <v>457544.50569999998</v>
      </c>
      <c r="J24" s="167">
        <f>ROUND(SUM('[13]Monthly TD Calc-PY1-3'!BD462:BD462)+SUM('[13]Monthly TD Calc-PY4'!BD470:BD470)+SUM('[13]Monthly TD Calc-PY5'!BD570:BD570),4)</f>
        <v>442852.90220000001</v>
      </c>
      <c r="K24" s="156">
        <f>ROUND(SUM('[13]Monthly TD Calc-PY1-3'!BE462:BE462)+SUM('[13]Monthly TD Calc-PY4'!BE470:BE470)+SUM('[13]Monthly TD Calc-PY5'!BE570:BE570),4)</f>
        <v>491992.34629999998</v>
      </c>
      <c r="L24" s="140">
        <f>ROUND(SUM('[13]Monthly TD Calc-PY1-3'!BF462:BF462)+SUM('[13]Monthly TD Calc-PY4'!BF470:BF470)+SUM('[13]Monthly TD Calc-PY5'!BF570:BF570),4)</f>
        <v>507859.36249999999</v>
      </c>
      <c r="M24" s="80"/>
      <c r="N24" s="59">
        <f t="shared" ref="N24:N27" si="12">SUM(C24:L24)</f>
        <v>2699850.8277033572</v>
      </c>
      <c r="P24" s="186">
        <f t="shared" si="11"/>
        <v>-999851.70879999991</v>
      </c>
    </row>
    <row r="25" spans="1:16" x14ac:dyDescent="0.35">
      <c r="A25" s="46" t="s">
        <v>105</v>
      </c>
      <c r="C25" s="190">
        <v>-1826851.5394058737</v>
      </c>
      <c r="D25" s="195"/>
      <c r="E25" s="111">
        <f>ROUND(SUM('[13]Monthly TD Calc-PY1-3'!AY463:AY463)+SUM('[13]Monthly TD Calc-PY4'!AY471:AY471)+SUM('[13]Monthly TD Calc-PY5'!AY571:AY571),4)</f>
        <v>987495.29740000004</v>
      </c>
      <c r="F25" s="111">
        <f>ROUND(SUM('[13]Monthly TD Calc-PY1-3'!AZ463:AZ463)+SUM('[13]Monthly TD Calc-PY4'!AZ471:AZ471)+SUM('[13]Monthly TD Calc-PY5'!AZ571:AZ571),4)</f>
        <v>1277641.6861</v>
      </c>
      <c r="G25" s="122">
        <f>ROUND(SUM('[13]Monthly TD Calc-PY1-3'!BA463:BA463)+SUM('[13]Monthly TD Calc-PY4'!BA471:BA471)+SUM('[13]Monthly TD Calc-PY5'!BA571:BA571),4)</f>
        <v>1801267.2213999999</v>
      </c>
      <c r="H25" s="74">
        <f>ROUND(SUM('[13]Monthly TD Calc-PY1-3'!BB463:BB463)+SUM('[13]Monthly TD Calc-PY4'!BB471:BB471)+SUM('[13]Monthly TD Calc-PY5'!BB571:BB571),4)</f>
        <v>1784790.9631000001</v>
      </c>
      <c r="I25" s="75">
        <f>ROUND(SUM('[13]Monthly TD Calc-PY1-3'!BC463:BC463)+SUM('[13]Monthly TD Calc-PY4'!BC471:BC471)+SUM('[13]Monthly TD Calc-PY5'!BC571:BC571),4)</f>
        <v>1989647.014</v>
      </c>
      <c r="J25" s="167">
        <f>ROUND(SUM('[13]Monthly TD Calc-PY1-3'!BD463:BD463)+SUM('[13]Monthly TD Calc-PY4'!BD471:BD471)+SUM('[13]Monthly TD Calc-PY5'!BD571:BD571),4)</f>
        <v>1910607.0626999999</v>
      </c>
      <c r="K25" s="156">
        <f>ROUND(SUM('[13]Monthly TD Calc-PY1-3'!BE463:BE463)+SUM('[13]Monthly TD Calc-PY4'!BE471:BE471)+SUM('[13]Monthly TD Calc-PY5'!BE571:BE571),4)</f>
        <v>2055079.5739</v>
      </c>
      <c r="L25" s="140">
        <f>ROUND(SUM('[13]Monthly TD Calc-PY1-3'!BF463:BF463)+SUM('[13]Monthly TD Calc-PY4'!BF471:BF471)+SUM('[13]Monthly TD Calc-PY5'!BF571:BF571),4)</f>
        <v>2041232.1216</v>
      </c>
      <c r="M25" s="80"/>
      <c r="N25" s="59">
        <f t="shared" si="12"/>
        <v>12020909.400794126</v>
      </c>
      <c r="P25" s="186">
        <f t="shared" si="11"/>
        <v>-4096311.6954999999</v>
      </c>
    </row>
    <row r="26" spans="1:16" x14ac:dyDescent="0.35">
      <c r="A26" s="46" t="s">
        <v>106</v>
      </c>
      <c r="C26" s="190">
        <v>-2984841.7609288911</v>
      </c>
      <c r="D26" s="195"/>
      <c r="E26" s="111">
        <f>ROUND(SUM('[13]Monthly TD Calc-PY1-3'!AY464:AY464)+SUM('[13]Monthly TD Calc-PY4'!AY472:AY472)+SUM('[13]Monthly TD Calc-PY5'!AY572:AY572),4)</f>
        <v>1687579.9383</v>
      </c>
      <c r="F26" s="111">
        <f>ROUND(SUM('[13]Monthly TD Calc-PY1-3'!AZ464:AZ464)+SUM('[13]Monthly TD Calc-PY4'!AZ472:AZ472)+SUM('[13]Monthly TD Calc-PY5'!AZ572:AZ572),4)</f>
        <v>1960067.0612000001</v>
      </c>
      <c r="G26" s="122">
        <f>ROUND(SUM('[13]Monthly TD Calc-PY1-3'!BA464:BA464)+SUM('[13]Monthly TD Calc-PY4'!BA472:BA472)+SUM('[13]Monthly TD Calc-PY5'!BA572:BA572),4)</f>
        <v>2216354.9999000002</v>
      </c>
      <c r="H26" s="74">
        <f>ROUND(SUM('[13]Monthly TD Calc-PY1-3'!BB464:BB464)+SUM('[13]Monthly TD Calc-PY4'!BB472:BB472)+SUM('[13]Monthly TD Calc-PY5'!BB572:BB572),4)</f>
        <v>2037799.3637000001</v>
      </c>
      <c r="I26" s="75">
        <f>ROUND(SUM('[13]Monthly TD Calc-PY1-3'!BC464:BC464)+SUM('[13]Monthly TD Calc-PY4'!BC472:BC472)+SUM('[13]Monthly TD Calc-PY5'!BC572:BC572),4)</f>
        <v>2268089.5177000002</v>
      </c>
      <c r="J26" s="167">
        <f>ROUND(SUM('[13]Monthly TD Calc-PY1-3'!BD464:BD464)+SUM('[13]Monthly TD Calc-PY4'!BD472:BD472)+SUM('[13]Monthly TD Calc-PY5'!BD572:BD572),4)</f>
        <v>2165419.6</v>
      </c>
      <c r="K26" s="156">
        <f>ROUND(SUM('[13]Monthly TD Calc-PY1-3'!BE464:BE464)+SUM('[13]Monthly TD Calc-PY4'!BE472:BE472)+SUM('[13]Monthly TD Calc-PY5'!BE572:BE572),4)</f>
        <v>2341145.8303</v>
      </c>
      <c r="L26" s="140">
        <f>ROUND(SUM('[13]Monthly TD Calc-PY1-3'!BF464:BF464)+SUM('[13]Monthly TD Calc-PY4'!BF472:BF472)+SUM('[13]Monthly TD Calc-PY5'!BF572:BF572),4)</f>
        <v>2359202.9493</v>
      </c>
      <c r="M26" s="80"/>
      <c r="N26" s="59">
        <f t="shared" si="12"/>
        <v>14050817.499471109</v>
      </c>
      <c r="P26" s="186">
        <f t="shared" si="11"/>
        <v>-4700348.7796</v>
      </c>
    </row>
    <row r="27" spans="1:16" x14ac:dyDescent="0.35">
      <c r="A27" s="46" t="s">
        <v>107</v>
      </c>
      <c r="C27" s="190">
        <v>-568019.46760197601</v>
      </c>
      <c r="D27" s="195"/>
      <c r="E27" s="111">
        <f>ROUND(SUM('[13]Monthly TD Calc-PY1-3'!AY465:AY465)+SUM('[13]Monthly TD Calc-PY4'!AY473:AY473)+SUM('[13]Monthly TD Calc-PY5'!AY573:AY573),4)</f>
        <v>273113.07520000002</v>
      </c>
      <c r="F27" s="111">
        <f>ROUND(SUM('[13]Monthly TD Calc-PY1-3'!AZ465:AZ465)+SUM('[13]Monthly TD Calc-PY4'!AZ473:AZ473)+SUM('[13]Monthly TD Calc-PY5'!AZ573:AZ573),4)</f>
        <v>285107.19650000002</v>
      </c>
      <c r="G27" s="122">
        <f>ROUND(SUM('[13]Monthly TD Calc-PY1-3'!BA465:BA465)+SUM('[13]Monthly TD Calc-PY4'!BA473:BA473)+SUM('[13]Monthly TD Calc-PY5'!BA573:BA573),4)</f>
        <v>320868.71470000001</v>
      </c>
      <c r="H27" s="74">
        <f>ROUND(SUM('[13]Monthly TD Calc-PY1-3'!BB465:BB465)+SUM('[13]Monthly TD Calc-PY4'!BB473:BB473)+SUM('[13]Monthly TD Calc-PY5'!BB573:BB573),4)</f>
        <v>308318.61920000002</v>
      </c>
      <c r="I27" s="75">
        <f>ROUND(SUM('[13]Monthly TD Calc-PY1-3'!BC465:BC465)+SUM('[13]Monthly TD Calc-PY4'!BC473:BC473)+SUM('[13]Monthly TD Calc-PY5'!BC573:BC573),4)</f>
        <v>344177.0527</v>
      </c>
      <c r="J27" s="167">
        <f>ROUND(SUM('[13]Monthly TD Calc-PY1-3'!BD465:BD465)+SUM('[13]Monthly TD Calc-PY4'!BD473:BD473)+SUM('[13]Monthly TD Calc-PY5'!BD573:BD573),4)</f>
        <v>329228.57990000001</v>
      </c>
      <c r="K27" s="156">
        <f>ROUND(SUM('[13]Monthly TD Calc-PY1-3'!BE465:BE465)+SUM('[13]Monthly TD Calc-PY4'!BE473:BE473)+SUM('[13]Monthly TD Calc-PY5'!BE573:BE573),4)</f>
        <v>363139.94059999997</v>
      </c>
      <c r="L27" s="140">
        <f>ROUND(SUM('[13]Monthly TD Calc-PY1-3'!BF465:BF465)+SUM('[13]Monthly TD Calc-PY4'!BF473:BF473)+SUM('[13]Monthly TD Calc-PY5'!BF573:BF573),4)</f>
        <v>379613.29</v>
      </c>
      <c r="M27" s="80"/>
      <c r="N27" s="59">
        <f t="shared" si="12"/>
        <v>2035547.001198024</v>
      </c>
      <c r="P27" s="186">
        <f t="shared" si="11"/>
        <v>-742753.23059999989</v>
      </c>
    </row>
    <row r="28" spans="1:16" x14ac:dyDescent="0.35">
      <c r="C28" s="67"/>
      <c r="D28" s="194"/>
      <c r="E28" s="56"/>
      <c r="F28" s="56"/>
      <c r="G28" s="56"/>
      <c r="H28" s="12"/>
      <c r="I28" s="56"/>
      <c r="J28" s="166"/>
      <c r="K28" s="56"/>
      <c r="L28" s="56"/>
      <c r="M28" s="13"/>
    </row>
    <row r="29" spans="1:16" x14ac:dyDescent="0.35">
      <c r="A29" s="46" t="s">
        <v>67</v>
      </c>
      <c r="C29" s="36"/>
      <c r="D29" s="196"/>
      <c r="E29" s="37"/>
      <c r="F29" s="37"/>
      <c r="G29" s="37"/>
      <c r="H29" s="36"/>
      <c r="I29" s="37"/>
      <c r="J29" s="168"/>
      <c r="K29" s="52"/>
      <c r="L29" s="52"/>
      <c r="M29" s="38"/>
    </row>
    <row r="30" spans="1:16" x14ac:dyDescent="0.35">
      <c r="A30" s="46" t="s">
        <v>24</v>
      </c>
      <c r="C30" s="189">
        <v>-247515.84</v>
      </c>
      <c r="D30" s="192"/>
      <c r="E30" s="109">
        <f>'[13]Summary Monthly TD Calc'!L3</f>
        <v>126429.88</v>
      </c>
      <c r="F30" s="109">
        <f>'[13]Summary Monthly TD Calc'!M3</f>
        <v>144057.09</v>
      </c>
      <c r="G30" s="110">
        <f>'[13]Summary Monthly TD Calc'!N3</f>
        <v>132194.95000000001</v>
      </c>
      <c r="H30" s="16">
        <f>'[13]Summary Monthly TD Calc'!O3</f>
        <v>122596.31999999998</v>
      </c>
      <c r="I30" s="55">
        <f>'[13]Summary Monthly TD Calc'!P3</f>
        <v>130429.51999999999</v>
      </c>
      <c r="J30" s="167">
        <f>'[13]Summary Monthly TD Calc'!Q3</f>
        <v>134894.54999999999</v>
      </c>
      <c r="K30" s="157">
        <f>'[13]Summary Monthly TD Calc'!R3</f>
        <v>143786.32999999999</v>
      </c>
      <c r="L30" s="157">
        <f>'[13]Summary Monthly TD Calc'!S3</f>
        <v>233887.77</v>
      </c>
      <c r="M30" s="79"/>
      <c r="P30" s="186">
        <f t="shared" ref="P30:P36" si="13">-SUM(K30:M30)</f>
        <v>-377674.1</v>
      </c>
    </row>
    <row r="31" spans="1:16" x14ac:dyDescent="0.35">
      <c r="A31" s="46" t="s">
        <v>104</v>
      </c>
      <c r="C31" s="189">
        <v>-43504.97</v>
      </c>
      <c r="D31" s="192"/>
      <c r="E31" s="109">
        <f>'[13]Summary Monthly TD Calc'!L4</f>
        <v>21350.519999999997</v>
      </c>
      <c r="F31" s="109">
        <f>'[13]Summary Monthly TD Calc'!M4</f>
        <v>20697.23</v>
      </c>
      <c r="G31" s="110">
        <f>'[13]Summary Monthly TD Calc'!N4</f>
        <v>24262.299999999996</v>
      </c>
      <c r="H31" s="16">
        <f>'[13]Summary Monthly TD Calc'!O4</f>
        <v>23785.96</v>
      </c>
      <c r="I31" s="55">
        <f>'[13]Summary Monthly TD Calc'!P4</f>
        <v>27248.58</v>
      </c>
      <c r="J31" s="167">
        <f>'[13]Summary Monthly TD Calc'!Q4</f>
        <v>27759.700000000004</v>
      </c>
      <c r="K31" s="157">
        <f>'[13]Summary Monthly TD Calc'!R4</f>
        <v>32121.5</v>
      </c>
      <c r="L31" s="139">
        <f>'[13]Summary Monthly TD Calc'!S4</f>
        <v>43419.25</v>
      </c>
      <c r="M31" s="79"/>
      <c r="P31" s="186">
        <f t="shared" si="13"/>
        <v>-75540.75</v>
      </c>
    </row>
    <row r="32" spans="1:16" x14ac:dyDescent="0.35">
      <c r="A32" s="46" t="s">
        <v>105</v>
      </c>
      <c r="C32" s="189">
        <v>-73119.510000000009</v>
      </c>
      <c r="D32" s="192"/>
      <c r="E32" s="109">
        <f>'[13]Summary Monthly TD Calc'!L5</f>
        <v>41080.589999999997</v>
      </c>
      <c r="F32" s="109">
        <f>'[13]Summary Monthly TD Calc'!M5</f>
        <v>49632.340000000011</v>
      </c>
      <c r="G32" s="110">
        <f>'[13]Summary Monthly TD Calc'!N5</f>
        <v>69627.010000000009</v>
      </c>
      <c r="H32" s="16">
        <f>'[13]Summary Monthly TD Calc'!O5</f>
        <v>69084.739999999991</v>
      </c>
      <c r="I32" s="55">
        <f>'[13]Summary Monthly TD Calc'!P5</f>
        <v>79193.049999999988</v>
      </c>
      <c r="J32" s="167">
        <f>'[13]Summary Monthly TD Calc'!Q5</f>
        <v>81092.969999999987</v>
      </c>
      <c r="K32" s="157">
        <f>'[13]Summary Monthly TD Calc'!R5</f>
        <v>92813.829999999987</v>
      </c>
      <c r="L32" s="139">
        <f>'[13]Summary Monthly TD Calc'!S5</f>
        <v>128765.05000000002</v>
      </c>
      <c r="M32" s="79"/>
      <c r="P32" s="186">
        <f t="shared" si="13"/>
        <v>-221578.88</v>
      </c>
    </row>
    <row r="33" spans="1:16" x14ac:dyDescent="0.35">
      <c r="A33" s="46" t="s">
        <v>106</v>
      </c>
      <c r="C33" s="189">
        <v>-75376.47</v>
      </c>
      <c r="D33" s="192"/>
      <c r="E33" s="109">
        <f>'[13]Summary Monthly TD Calc'!L6</f>
        <v>44136.18</v>
      </c>
      <c r="F33" s="109">
        <f>'[13]Summary Monthly TD Calc'!M6</f>
        <v>47976.95</v>
      </c>
      <c r="G33" s="110">
        <f>'[13]Summary Monthly TD Calc'!N6</f>
        <v>54055.29</v>
      </c>
      <c r="H33" s="16">
        <f>'[13]Summary Monthly TD Calc'!O6</f>
        <v>50032.939999999995</v>
      </c>
      <c r="I33" s="55">
        <f>'[13]Summary Monthly TD Calc'!P6</f>
        <v>57430.8</v>
      </c>
      <c r="J33" s="167">
        <f>'[13]Summary Monthly TD Calc'!Q6</f>
        <v>58915.33</v>
      </c>
      <c r="K33" s="157">
        <f>'[13]Summary Monthly TD Calc'!R6</f>
        <v>65767.210000000006</v>
      </c>
      <c r="L33" s="139">
        <f>'[13]Summary Monthly TD Calc'!S6</f>
        <v>94311.1</v>
      </c>
      <c r="M33" s="79"/>
      <c r="P33" s="186">
        <f t="shared" si="13"/>
        <v>-160078.31</v>
      </c>
    </row>
    <row r="34" spans="1:16" x14ac:dyDescent="0.35">
      <c r="A34" s="46" t="s">
        <v>107</v>
      </c>
      <c r="C34" s="189">
        <v>-6011.6</v>
      </c>
      <c r="D34" s="192"/>
      <c r="E34" s="109">
        <f>'[13]Summary Monthly TD Calc'!L7</f>
        <v>3002.81</v>
      </c>
      <c r="F34" s="109">
        <f>'[13]Summary Monthly TD Calc'!M7</f>
        <v>3199.66</v>
      </c>
      <c r="G34" s="110">
        <f>'[13]Summary Monthly TD Calc'!N7</f>
        <v>2998.4400000000005</v>
      </c>
      <c r="H34" s="16">
        <f>'[13]Summary Monthly TD Calc'!O7</f>
        <v>3515.77</v>
      </c>
      <c r="I34" s="55">
        <f>'[13]Summary Monthly TD Calc'!P7</f>
        <v>3987.94</v>
      </c>
      <c r="J34" s="167">
        <f>'[13]Summary Monthly TD Calc'!Q7</f>
        <v>3786.15</v>
      </c>
      <c r="K34" s="157">
        <f>'[13]Summary Monthly TD Calc'!R7</f>
        <v>4155.91</v>
      </c>
      <c r="L34" s="139">
        <f>'[13]Summary Monthly TD Calc'!S7</f>
        <v>6051.04</v>
      </c>
      <c r="M34" s="79"/>
      <c r="O34" s="47"/>
      <c r="P34" s="186">
        <f t="shared" si="13"/>
        <v>-10206.950000000001</v>
      </c>
    </row>
    <row r="35" spans="1:16" x14ac:dyDescent="0.35">
      <c r="C35" s="67"/>
      <c r="D35" s="194"/>
      <c r="E35" s="56"/>
      <c r="F35" s="56"/>
      <c r="G35" s="56"/>
      <c r="H35" s="12"/>
      <c r="I35" s="56"/>
      <c r="J35" s="166"/>
      <c r="K35" s="56"/>
      <c r="L35" s="56"/>
      <c r="M35" s="13"/>
    </row>
    <row r="36" spans="1:16" ht="15" thickBot="1" x14ac:dyDescent="0.4">
      <c r="A36" s="3" t="s">
        <v>15</v>
      </c>
      <c r="B36" s="3"/>
      <c r="C36" s="191">
        <v>1405.5900000000001</v>
      </c>
      <c r="D36" s="197"/>
      <c r="E36" s="132">
        <v>-598.2700000000001</v>
      </c>
      <c r="F36" s="132">
        <v>-364.11000000000007</v>
      </c>
      <c r="G36" s="133">
        <v>-225.03</v>
      </c>
      <c r="H36" s="26">
        <v>-198.04000000000002</v>
      </c>
      <c r="I36" s="119">
        <v>20.41999999999986</v>
      </c>
      <c r="J36" s="169">
        <v>523.42000000000007</v>
      </c>
      <c r="K36" s="158">
        <f>ROUND((SUM(J46:J50)+SUM(J54:J58)+SUM(K39:K43)/2)*K$52,2)</f>
        <v>1159.06</v>
      </c>
      <c r="L36" s="141">
        <f>ROUND((SUM(K46:K50)+SUM(K54:K58)+SUM(L39:L43)/2)*L$52,2)</f>
        <v>2213.69</v>
      </c>
      <c r="M36" s="82"/>
      <c r="P36" s="186">
        <f t="shared" si="13"/>
        <v>-3372.75</v>
      </c>
    </row>
    <row r="37" spans="1:16" x14ac:dyDescent="0.35">
      <c r="C37" s="64"/>
      <c r="D37" s="200"/>
      <c r="E37" s="66"/>
      <c r="F37" s="66"/>
      <c r="G37" s="33"/>
      <c r="H37" s="64"/>
      <c r="I37" s="33"/>
      <c r="J37" s="170"/>
      <c r="K37" s="34"/>
      <c r="L37" s="34"/>
      <c r="M37" s="60"/>
    </row>
    <row r="38" spans="1:16" x14ac:dyDescent="0.35">
      <c r="A38" s="46" t="s">
        <v>51</v>
      </c>
      <c r="C38" s="65"/>
      <c r="D38" s="201"/>
      <c r="E38" s="35"/>
      <c r="F38" s="35"/>
      <c r="G38" s="35"/>
      <c r="H38" s="65"/>
      <c r="I38" s="35"/>
      <c r="J38" s="171"/>
      <c r="K38" s="34"/>
      <c r="L38" s="34"/>
      <c r="M38" s="60"/>
    </row>
    <row r="39" spans="1:16" x14ac:dyDescent="0.35">
      <c r="A39" s="46" t="s">
        <v>24</v>
      </c>
      <c r="C39" s="198">
        <f t="shared" ref="C39" si="14">C30-C16</f>
        <v>205452.54471999998</v>
      </c>
      <c r="D39" s="202">
        <f t="shared" ref="D39" si="15">D30-D16</f>
        <v>0</v>
      </c>
      <c r="E39" s="41">
        <f t="shared" ref="E39:M39" si="16">E30-E16</f>
        <v>22413.600000000006</v>
      </c>
      <c r="F39" s="41">
        <f t="shared" si="16"/>
        <v>8677.8299999999872</v>
      </c>
      <c r="G39" s="108">
        <f t="shared" si="16"/>
        <v>-40249.989999999991</v>
      </c>
      <c r="H39" s="40">
        <f t="shared" si="16"/>
        <v>-42465.74000000002</v>
      </c>
      <c r="I39" s="41">
        <f t="shared" si="16"/>
        <v>17415.219999999987</v>
      </c>
      <c r="J39" s="61">
        <f t="shared" si="16"/>
        <v>31235.479999999981</v>
      </c>
      <c r="K39" s="120">
        <f t="shared" si="16"/>
        <v>40069.781899999987</v>
      </c>
      <c r="L39" s="41">
        <f t="shared" si="16"/>
        <v>100153.03722</v>
      </c>
      <c r="M39" s="61">
        <f t="shared" si="16"/>
        <v>-196405.23078000001</v>
      </c>
    </row>
    <row r="40" spans="1:16" x14ac:dyDescent="0.35">
      <c r="A40" s="46" t="s">
        <v>104</v>
      </c>
      <c r="C40" s="198">
        <f t="shared" ref="C40" si="17">C31-C17</f>
        <v>5401.4847399999999</v>
      </c>
      <c r="D40" s="202">
        <f t="shared" ref="D40:M40" si="18">D31-D17</f>
        <v>0</v>
      </c>
      <c r="E40" s="41">
        <f t="shared" si="18"/>
        <v>6645.7499999999964</v>
      </c>
      <c r="F40" s="41">
        <f t="shared" si="18"/>
        <v>3609.5799999999981</v>
      </c>
      <c r="G40" s="108">
        <f t="shared" si="18"/>
        <v>4294.1899999999951</v>
      </c>
      <c r="H40" s="40">
        <f t="shared" si="18"/>
        <v>3364.8899999999994</v>
      </c>
      <c r="I40" s="41">
        <f t="shared" si="18"/>
        <v>7666.0800000000017</v>
      </c>
      <c r="J40" s="61">
        <f t="shared" si="18"/>
        <v>9225.9100000000035</v>
      </c>
      <c r="K40" s="120">
        <f t="shared" si="18"/>
        <v>12127.9935</v>
      </c>
      <c r="L40" s="41">
        <f t="shared" si="18"/>
        <v>21387.364130000002</v>
      </c>
      <c r="M40" s="61">
        <f t="shared" si="18"/>
        <v>-24717.37644</v>
      </c>
    </row>
    <row r="41" spans="1:16" x14ac:dyDescent="0.35">
      <c r="A41" s="46" t="s">
        <v>105</v>
      </c>
      <c r="C41" s="198">
        <f t="shared" ref="C41" si="19">C32-C18</f>
        <v>44060.407910000009</v>
      </c>
      <c r="D41" s="202">
        <f t="shared" ref="D41:M41" si="20">D32-D18</f>
        <v>0</v>
      </c>
      <c r="E41" s="41">
        <f t="shared" si="20"/>
        <v>7263.6199999999953</v>
      </c>
      <c r="F41" s="41">
        <f t="shared" si="20"/>
        <v>12250.80000000001</v>
      </c>
      <c r="G41" s="108">
        <f t="shared" si="20"/>
        <v>27879.770000000011</v>
      </c>
      <c r="H41" s="40">
        <f t="shared" si="20"/>
        <v>25910.139999999992</v>
      </c>
      <c r="I41" s="41">
        <f t="shared" si="20"/>
        <v>38499.259999999987</v>
      </c>
      <c r="J41" s="61">
        <f t="shared" si="20"/>
        <v>42186.259999999987</v>
      </c>
      <c r="K41" s="120">
        <f t="shared" si="20"/>
        <v>49083.999849999986</v>
      </c>
      <c r="L41" s="41">
        <f t="shared" si="20"/>
        <v>80576.872780000005</v>
      </c>
      <c r="M41" s="61">
        <f t="shared" si="20"/>
        <v>-54061.885980000006</v>
      </c>
    </row>
    <row r="42" spans="1:16" x14ac:dyDescent="0.35">
      <c r="A42" s="46" t="s">
        <v>106</v>
      </c>
      <c r="C42" s="198">
        <f t="shared" ref="C42" si="21">C33-C19</f>
        <v>26088.318879999992</v>
      </c>
      <c r="D42" s="202">
        <f t="shared" ref="D42:M42" si="22">D33-D19</f>
        <v>0</v>
      </c>
      <c r="E42" s="41">
        <f t="shared" si="22"/>
        <v>13878.599999999999</v>
      </c>
      <c r="F42" s="41">
        <f t="shared" si="22"/>
        <v>14672.949999999997</v>
      </c>
      <c r="G42" s="108">
        <f t="shared" si="22"/>
        <v>17971.809999999998</v>
      </c>
      <c r="H42" s="40">
        <f t="shared" si="22"/>
        <v>11474.839999999997</v>
      </c>
      <c r="I42" s="41">
        <f t="shared" si="22"/>
        <v>16432.310000000005</v>
      </c>
      <c r="J42" s="61">
        <f t="shared" si="22"/>
        <v>19729.260000000002</v>
      </c>
      <c r="K42" s="120">
        <f t="shared" si="22"/>
        <v>26238.467390000005</v>
      </c>
      <c r="L42" s="41">
        <f t="shared" si="22"/>
        <v>50752.319900000002</v>
      </c>
      <c r="M42" s="61">
        <f t="shared" si="22"/>
        <v>-48868.206530000003</v>
      </c>
    </row>
    <row r="43" spans="1:16" x14ac:dyDescent="0.35">
      <c r="A43" s="46" t="s">
        <v>107</v>
      </c>
      <c r="C43" s="198">
        <f t="shared" ref="C43" si="23">C34-C20</f>
        <v>-274.59460000000036</v>
      </c>
      <c r="D43" s="202">
        <f t="shared" ref="D43:M43" si="24">D34-D20</f>
        <v>0</v>
      </c>
      <c r="E43" s="41">
        <f t="shared" si="24"/>
        <v>1008.9199999999998</v>
      </c>
      <c r="F43" s="41">
        <f t="shared" si="24"/>
        <v>1204.0099999999998</v>
      </c>
      <c r="G43" s="108">
        <f t="shared" si="24"/>
        <v>913.29000000000042</v>
      </c>
      <c r="H43" s="40">
        <f t="shared" si="24"/>
        <v>1049.1199999999999</v>
      </c>
      <c r="I43" s="41">
        <f t="shared" si="24"/>
        <v>1135.0500000000002</v>
      </c>
      <c r="J43" s="61">
        <f t="shared" si="24"/>
        <v>942.70000000000027</v>
      </c>
      <c r="K43" s="120">
        <f t="shared" si="24"/>
        <v>1258.8107999999997</v>
      </c>
      <c r="L43" s="41">
        <f t="shared" si="24"/>
        <v>2858.5755199999999</v>
      </c>
      <c r="M43" s="61">
        <f t="shared" si="24"/>
        <v>-3581.5973600000002</v>
      </c>
    </row>
    <row r="44" spans="1:16" x14ac:dyDescent="0.35">
      <c r="C44" s="99"/>
      <c r="D44" s="193"/>
      <c r="E44" s="31"/>
      <c r="F44" s="17"/>
      <c r="G44" s="17"/>
      <c r="H44" s="10"/>
      <c r="I44" s="17"/>
      <c r="J44" s="11"/>
      <c r="K44" s="17"/>
      <c r="L44" s="17"/>
      <c r="M44" s="11"/>
    </row>
    <row r="45" spans="1:16" ht="15" thickBot="1" x14ac:dyDescent="0.4">
      <c r="A45" s="46" t="s">
        <v>52</v>
      </c>
      <c r="C45" s="99"/>
      <c r="D45" s="193"/>
      <c r="E45" s="17"/>
      <c r="F45" s="17"/>
      <c r="G45" s="17"/>
      <c r="H45" s="10"/>
      <c r="I45" s="17"/>
      <c r="J45" s="11"/>
      <c r="K45" s="17"/>
      <c r="L45" s="17"/>
      <c r="M45" s="11"/>
    </row>
    <row r="46" spans="1:16" x14ac:dyDescent="0.35">
      <c r="A46" s="46" t="s">
        <v>24</v>
      </c>
      <c r="B46" s="307">
        <v>-262333.61471999984</v>
      </c>
      <c r="C46" s="198">
        <f t="shared" ref="C46:C50" si="25">+B46+C39+B54</f>
        <v>-56881.069999999861</v>
      </c>
      <c r="D46" s="202">
        <f t="shared" ref="D46:D50" si="26">+C46+D39+C54</f>
        <v>-56227.939999999864</v>
      </c>
      <c r="E46" s="41">
        <f t="shared" ref="E46:E50" si="27">+D46+E39+D54</f>
        <v>-33814.339999999858</v>
      </c>
      <c r="F46" s="41">
        <f t="shared" ref="F46:F50" si="28">+E46+F39+E54</f>
        <v>-25377.839999999873</v>
      </c>
      <c r="G46" s="108">
        <f t="shared" ref="G46:G50" si="29">+F46+G39+F54</f>
        <v>-65790.789999999877</v>
      </c>
      <c r="H46" s="40">
        <f t="shared" ref="H46:H50" si="30">+G46+H39+G54</f>
        <v>-108506.2499999999</v>
      </c>
      <c r="I46" s="41">
        <f t="shared" ref="I46:I50" si="31">+H46+I39+H54</f>
        <v>-91567.129999999917</v>
      </c>
      <c r="J46" s="61">
        <f t="shared" ref="J46:J50" si="32">+I46+J39+I54</f>
        <v>-60878.979999999938</v>
      </c>
      <c r="K46" s="120">
        <f t="shared" ref="K46:K50" si="33">+J46+K39+J54</f>
        <v>-21226.318099999949</v>
      </c>
      <c r="L46" s="41">
        <f t="shared" ref="L46:L50" si="34">+K46+L39+K54</f>
        <v>78701.729120000047</v>
      </c>
      <c r="M46" s="61">
        <f t="shared" ref="M46:M50" si="35">+L46+M39+L54</f>
        <v>-117547.41165999997</v>
      </c>
    </row>
    <row r="47" spans="1:16" x14ac:dyDescent="0.35">
      <c r="A47" s="46" t="s">
        <v>104</v>
      </c>
      <c r="B47" s="309">
        <v>-93527.874740000072</v>
      </c>
      <c r="C47" s="198">
        <f t="shared" si="25"/>
        <v>-88126.390000000072</v>
      </c>
      <c r="D47" s="202">
        <f t="shared" si="26"/>
        <v>-87251.080000000075</v>
      </c>
      <c r="E47" s="41">
        <f t="shared" si="27"/>
        <v>-80605.330000000075</v>
      </c>
      <c r="F47" s="41">
        <f t="shared" si="28"/>
        <v>-77445.630000000077</v>
      </c>
      <c r="G47" s="108">
        <f t="shared" si="29"/>
        <v>-73586.030000000086</v>
      </c>
      <c r="H47" s="40">
        <f t="shared" si="30"/>
        <v>-70635.280000000086</v>
      </c>
      <c r="I47" s="41">
        <f t="shared" si="31"/>
        <v>-63363.710000000086</v>
      </c>
      <c r="J47" s="61">
        <f t="shared" si="32"/>
        <v>-54504.580000000082</v>
      </c>
      <c r="K47" s="120">
        <f t="shared" si="33"/>
        <v>-42698.936500000076</v>
      </c>
      <c r="L47" s="41">
        <f t="shared" si="34"/>
        <v>-21577.462370000074</v>
      </c>
      <c r="M47" s="61">
        <f t="shared" si="35"/>
        <v>-46470.808810000075</v>
      </c>
    </row>
    <row r="48" spans="1:16" x14ac:dyDescent="0.35">
      <c r="A48" s="46" t="s">
        <v>105</v>
      </c>
      <c r="B48" s="309">
        <v>-1258.1679100000315</v>
      </c>
      <c r="C48" s="198">
        <f t="shared" si="25"/>
        <v>42802.239999999976</v>
      </c>
      <c r="D48" s="202">
        <f t="shared" si="26"/>
        <v>42357.869999999974</v>
      </c>
      <c r="E48" s="41">
        <f t="shared" si="27"/>
        <v>49621.489999999969</v>
      </c>
      <c r="F48" s="41">
        <f t="shared" si="28"/>
        <v>62118.809999999976</v>
      </c>
      <c r="G48" s="108">
        <f t="shared" si="29"/>
        <v>90305.639999999985</v>
      </c>
      <c r="H48" s="40">
        <f t="shared" si="30"/>
        <v>116633.37999999998</v>
      </c>
      <c r="I48" s="41">
        <f t="shared" si="31"/>
        <v>155698.22999999995</v>
      </c>
      <c r="J48" s="61">
        <f t="shared" si="32"/>
        <v>198629.26999999993</v>
      </c>
      <c r="K48" s="120">
        <f t="shared" si="33"/>
        <v>248681.32984999992</v>
      </c>
      <c r="L48" s="41">
        <f t="shared" si="34"/>
        <v>330480.38262999995</v>
      </c>
      <c r="M48" s="61">
        <f t="shared" si="35"/>
        <v>278000.8466499999</v>
      </c>
    </row>
    <row r="49" spans="1:16" x14ac:dyDescent="0.35">
      <c r="A49" s="46" t="s">
        <v>106</v>
      </c>
      <c r="B49" s="309">
        <v>-49147.558880000004</v>
      </c>
      <c r="C49" s="198">
        <f t="shared" si="25"/>
        <v>-23059.240000000013</v>
      </c>
      <c r="D49" s="202">
        <f t="shared" si="26"/>
        <v>-22868.230000000014</v>
      </c>
      <c r="E49" s="41">
        <f t="shared" si="27"/>
        <v>-8989.6300000000156</v>
      </c>
      <c r="F49" s="41">
        <f t="shared" si="28"/>
        <v>5597.9399999999814</v>
      </c>
      <c r="G49" s="108">
        <f t="shared" si="29"/>
        <v>23560.219999999979</v>
      </c>
      <c r="H49" s="40">
        <f t="shared" si="30"/>
        <v>35114.759999999973</v>
      </c>
      <c r="I49" s="41">
        <f t="shared" si="31"/>
        <v>51707.32999999998</v>
      </c>
      <c r="J49" s="61">
        <f t="shared" si="32"/>
        <v>71673.979999999981</v>
      </c>
      <c r="K49" s="120">
        <f t="shared" si="33"/>
        <v>98249.477389999985</v>
      </c>
      <c r="L49" s="41">
        <f t="shared" si="34"/>
        <v>149465.99729</v>
      </c>
      <c r="M49" s="61">
        <f t="shared" si="35"/>
        <v>101274.42076000001</v>
      </c>
    </row>
    <row r="50" spans="1:16" ht="15" thickBot="1" x14ac:dyDescent="0.4">
      <c r="A50" s="46" t="s">
        <v>107</v>
      </c>
      <c r="B50" s="308">
        <v>-13086.835399999985</v>
      </c>
      <c r="C50" s="198">
        <f t="shared" si="25"/>
        <v>-13361.429999999986</v>
      </c>
      <c r="D50" s="202">
        <f t="shared" si="26"/>
        <v>-13230.919999999986</v>
      </c>
      <c r="E50" s="41">
        <f t="shared" si="27"/>
        <v>-12221.999999999985</v>
      </c>
      <c r="F50" s="41">
        <f t="shared" si="28"/>
        <v>-11086.209999999985</v>
      </c>
      <c r="G50" s="108">
        <f t="shared" si="29"/>
        <v>-10237.019999999984</v>
      </c>
      <c r="H50" s="40">
        <f t="shared" si="30"/>
        <v>-9246.3799999999828</v>
      </c>
      <c r="I50" s="41">
        <f t="shared" si="31"/>
        <v>-8164.6299999999828</v>
      </c>
      <c r="J50" s="61">
        <f t="shared" si="32"/>
        <v>-7269.589999999982</v>
      </c>
      <c r="K50" s="120">
        <f t="shared" si="33"/>
        <v>-6052.9891999999827</v>
      </c>
      <c r="L50" s="41">
        <f t="shared" si="34"/>
        <v>-3230.8536799999829</v>
      </c>
      <c r="M50" s="61">
        <f t="shared" si="35"/>
        <v>-6837.8610399999834</v>
      </c>
    </row>
    <row r="51" spans="1:16" x14ac:dyDescent="0.35">
      <c r="C51" s="99"/>
      <c r="D51" s="193"/>
      <c r="E51" s="17"/>
      <c r="F51" s="17"/>
      <c r="G51" s="17"/>
      <c r="H51" s="10"/>
      <c r="I51" s="17"/>
      <c r="J51" s="11"/>
      <c r="K51" s="17"/>
      <c r="L51" s="17"/>
      <c r="M51" s="11"/>
    </row>
    <row r="52" spans="1:16" x14ac:dyDescent="0.35">
      <c r="A52" s="39" t="s">
        <v>121</v>
      </c>
      <c r="B52" s="39"/>
      <c r="C52" s="104"/>
      <c r="D52" s="203"/>
      <c r="E52" s="83">
        <f>+'PCR Cycle 2'!E50</f>
        <v>5.3602700000000003E-3</v>
      </c>
      <c r="F52" s="83">
        <f>+'PCR Cycle 2'!F50</f>
        <v>5.4837899999999997E-3</v>
      </c>
      <c r="G52" s="83">
        <f>+'PCR Cycle 2'!G50</f>
        <v>5.4684599999999996E-3</v>
      </c>
      <c r="H52" s="84">
        <f>+'PCR Cycle 2'!H50</f>
        <v>5.4552200000000002E-3</v>
      </c>
      <c r="I52" s="83">
        <f>+'PCR Cycle 2'!I50</f>
        <v>5.4582900000000002E-3</v>
      </c>
      <c r="J52" s="92">
        <f>+'PCR Cycle 2'!J50</f>
        <v>5.45277E-3</v>
      </c>
      <c r="K52" s="83">
        <f>+'PCR Cycle 2'!K50</f>
        <v>5.45277E-3</v>
      </c>
      <c r="L52" s="83">
        <f>+'PCR Cycle 2'!L50</f>
        <v>5.45277E-3</v>
      </c>
      <c r="M52" s="85"/>
    </row>
    <row r="53" spans="1:16" x14ac:dyDescent="0.35">
      <c r="A53" s="39" t="s">
        <v>36</v>
      </c>
      <c r="B53" s="39"/>
      <c r="C53" s="106"/>
      <c r="D53" s="204"/>
      <c r="E53" s="83"/>
      <c r="F53" s="83"/>
      <c r="G53" s="83"/>
      <c r="H53" s="84"/>
      <c r="I53" s="83"/>
      <c r="J53" s="85"/>
      <c r="K53" s="83"/>
      <c r="L53" s="83"/>
      <c r="M53" s="85"/>
    </row>
    <row r="54" spans="1:16" x14ac:dyDescent="0.35">
      <c r="A54" s="46" t="s">
        <v>24</v>
      </c>
      <c r="C54" s="311">
        <v>653.13</v>
      </c>
      <c r="D54" s="202"/>
      <c r="E54" s="244">
        <f t="shared" ref="E54:M58" si="36">ROUND((D46+D54+E39/2)*E$52,2)</f>
        <v>-241.33</v>
      </c>
      <c r="F54" s="41">
        <f t="shared" ref="F54:F58" si="37">ROUND((E46+E54+F39/2)*F$52,2)</f>
        <v>-162.96</v>
      </c>
      <c r="G54" s="108">
        <f t="shared" ref="G54:G58" si="38">ROUND((F46+F54+G39/2)*G$52,2)</f>
        <v>-249.72</v>
      </c>
      <c r="H54" s="40">
        <f t="shared" ref="H54:H58" si="39">ROUND((G46+G54+H39/2)*H$52,2)</f>
        <v>-476.1</v>
      </c>
      <c r="I54" s="120">
        <f t="shared" ref="I54:I58" si="40">ROUND((H46+H54+I39/2)*I$52,2)</f>
        <v>-547.33000000000004</v>
      </c>
      <c r="J54" s="61">
        <f t="shared" ref="J54:J58" si="41">ROUND((I46+I54+J39/2)*J$52,2)</f>
        <v>-417.12</v>
      </c>
      <c r="K54" s="159">
        <f t="shared" ref="K54:K58" si="42">ROUND((J46+J54+K39/2)*K$52,2)</f>
        <v>-224.99</v>
      </c>
      <c r="L54" s="108">
        <f t="shared" ref="L54:L58" si="43">ROUND((K46+K54+L39/2)*L$52,2)</f>
        <v>156.09</v>
      </c>
      <c r="M54" s="61">
        <f t="shared" si="36"/>
        <v>0</v>
      </c>
      <c r="P54" s="186">
        <f t="shared" ref="P54:P58" si="44">-SUM(K54:M54)</f>
        <v>68.900000000000006</v>
      </c>
    </row>
    <row r="55" spans="1:16" x14ac:dyDescent="0.35">
      <c r="A55" s="46" t="s">
        <v>104</v>
      </c>
      <c r="C55" s="311">
        <v>875.31</v>
      </c>
      <c r="D55" s="202"/>
      <c r="E55" s="244">
        <f t="shared" si="36"/>
        <v>-449.88</v>
      </c>
      <c r="F55" s="41">
        <f t="shared" si="37"/>
        <v>-434.59</v>
      </c>
      <c r="G55" s="108">
        <f t="shared" si="38"/>
        <v>-414.14</v>
      </c>
      <c r="H55" s="40">
        <f t="shared" si="39"/>
        <v>-394.51</v>
      </c>
      <c r="I55" s="120">
        <f t="shared" si="40"/>
        <v>-366.78</v>
      </c>
      <c r="J55" s="61">
        <f t="shared" si="41"/>
        <v>-322.35000000000002</v>
      </c>
      <c r="K55" s="159">
        <f t="shared" si="42"/>
        <v>-265.89</v>
      </c>
      <c r="L55" s="108">
        <f t="shared" si="43"/>
        <v>-175.97</v>
      </c>
      <c r="M55" s="61"/>
      <c r="P55" s="186">
        <f t="shared" si="44"/>
        <v>441.86</v>
      </c>
    </row>
    <row r="56" spans="1:16" x14ac:dyDescent="0.35">
      <c r="A56" s="46" t="s">
        <v>105</v>
      </c>
      <c r="C56" s="311">
        <v>-444.37</v>
      </c>
      <c r="D56" s="202"/>
      <c r="E56" s="244">
        <f t="shared" si="36"/>
        <v>246.52</v>
      </c>
      <c r="F56" s="41">
        <f t="shared" si="37"/>
        <v>307.06</v>
      </c>
      <c r="G56" s="108">
        <f t="shared" si="38"/>
        <v>417.6</v>
      </c>
      <c r="H56" s="40">
        <f t="shared" si="39"/>
        <v>565.59</v>
      </c>
      <c r="I56" s="120">
        <f t="shared" si="40"/>
        <v>744.78</v>
      </c>
      <c r="J56" s="61">
        <f t="shared" si="41"/>
        <v>968.06</v>
      </c>
      <c r="K56" s="159">
        <f t="shared" si="42"/>
        <v>1222.18</v>
      </c>
      <c r="L56" s="108">
        <f t="shared" si="43"/>
        <v>1582.35</v>
      </c>
      <c r="M56" s="61"/>
      <c r="P56" s="186">
        <f t="shared" si="44"/>
        <v>-2804.5299999999997</v>
      </c>
    </row>
    <row r="57" spans="1:16" x14ac:dyDescent="0.35">
      <c r="A57" s="46" t="s">
        <v>106</v>
      </c>
      <c r="C57" s="311">
        <v>191.01</v>
      </c>
      <c r="D57" s="202"/>
      <c r="E57" s="244">
        <f t="shared" si="36"/>
        <v>-85.38</v>
      </c>
      <c r="F57" s="41">
        <f t="shared" si="37"/>
        <v>-9.5299999999999994</v>
      </c>
      <c r="G57" s="108">
        <f t="shared" si="38"/>
        <v>79.7</v>
      </c>
      <c r="H57" s="40">
        <f t="shared" si="39"/>
        <v>160.26</v>
      </c>
      <c r="I57" s="120">
        <f t="shared" si="40"/>
        <v>237.39</v>
      </c>
      <c r="J57" s="61">
        <f t="shared" si="41"/>
        <v>337.03</v>
      </c>
      <c r="K57" s="159">
        <f t="shared" si="42"/>
        <v>464.2</v>
      </c>
      <c r="L57" s="108">
        <f t="shared" si="43"/>
        <v>676.63</v>
      </c>
      <c r="M57" s="61"/>
      <c r="P57" s="186">
        <f t="shared" si="44"/>
        <v>-1140.83</v>
      </c>
    </row>
    <row r="58" spans="1:16" ht="15" thickBot="1" x14ac:dyDescent="0.4">
      <c r="A58" s="46" t="s">
        <v>107</v>
      </c>
      <c r="C58" s="311">
        <v>130.51</v>
      </c>
      <c r="D58" s="202"/>
      <c r="E58" s="244">
        <f t="shared" si="36"/>
        <v>-68.22</v>
      </c>
      <c r="F58" s="41">
        <f t="shared" si="37"/>
        <v>-64.099999999999994</v>
      </c>
      <c r="G58" s="108">
        <f t="shared" si="38"/>
        <v>-58.48</v>
      </c>
      <c r="H58" s="40">
        <f t="shared" si="39"/>
        <v>-53.3</v>
      </c>
      <c r="I58" s="120">
        <f t="shared" si="40"/>
        <v>-47.66</v>
      </c>
      <c r="J58" s="61">
        <f t="shared" si="41"/>
        <v>-42.21</v>
      </c>
      <c r="K58" s="159">
        <f t="shared" si="42"/>
        <v>-36.44</v>
      </c>
      <c r="L58" s="108">
        <f t="shared" si="43"/>
        <v>-25.41</v>
      </c>
      <c r="M58" s="61">
        <f t="shared" ref="M58" si="45">ROUND((L50+L58+M43/2)*M$52,2)</f>
        <v>0</v>
      </c>
      <c r="P58" s="186">
        <f t="shared" si="44"/>
        <v>61.849999999999994</v>
      </c>
    </row>
    <row r="59" spans="1:16" ht="15.5" thickTop="1" thickBot="1" x14ac:dyDescent="0.4">
      <c r="A59" s="54" t="s">
        <v>22</v>
      </c>
      <c r="B59" s="54"/>
      <c r="C59" s="199">
        <v>0</v>
      </c>
      <c r="D59" s="205"/>
      <c r="E59" s="42">
        <f>SUM(E54:E58)+SUM(E46:E50)-E62</f>
        <v>0</v>
      </c>
      <c r="F59" s="42">
        <f t="shared" ref="F59:M59" si="46">SUM(F54:F58)+SUM(F46:F50)-F62</f>
        <v>0</v>
      </c>
      <c r="G59" s="50">
        <f t="shared" si="46"/>
        <v>0</v>
      </c>
      <c r="H59" s="51">
        <f t="shared" si="46"/>
        <v>0</v>
      </c>
      <c r="I59" s="42">
        <f t="shared" si="46"/>
        <v>0</v>
      </c>
      <c r="J59" s="62">
        <f t="shared" si="46"/>
        <v>0</v>
      </c>
      <c r="K59" s="160">
        <f t="shared" si="46"/>
        <v>0</v>
      </c>
      <c r="L59" s="50">
        <f t="shared" si="46"/>
        <v>0</v>
      </c>
      <c r="M59" s="62">
        <f t="shared" si="46"/>
        <v>0</v>
      </c>
    </row>
    <row r="60" spans="1:16" ht="15.5" thickTop="1" thickBot="1" x14ac:dyDescent="0.4">
      <c r="A60" s="54" t="s">
        <v>23</v>
      </c>
      <c r="B60" s="54"/>
      <c r="C60" s="199">
        <v>0</v>
      </c>
      <c r="D60" s="205"/>
      <c r="E60" s="42">
        <f>SUM(E54:E58)-E36</f>
        <v>-1.999999999998181E-2</v>
      </c>
      <c r="F60" s="42">
        <f t="shared" ref="F60:J60" si="47">SUM(F54:F58)-F36</f>
        <v>-9.9999999998203748E-3</v>
      </c>
      <c r="G60" s="50">
        <f t="shared" ref="G60:I60" si="48">SUM(G54:G58)-G36</f>
        <v>-9.9999999999909051E-3</v>
      </c>
      <c r="H60" s="51">
        <f t="shared" si="48"/>
        <v>-1.999999999998181E-2</v>
      </c>
      <c r="I60" s="42">
        <f t="shared" si="48"/>
        <v>-1.9999999999910756E-2</v>
      </c>
      <c r="J60" s="62">
        <f t="shared" si="47"/>
        <v>-1.0000000000218279E-2</v>
      </c>
      <c r="K60" s="161">
        <f t="shared" ref="K60:M60" si="49">SUM(K54:K58)-K36</f>
        <v>0</v>
      </c>
      <c r="L60" s="42">
        <f t="shared" si="49"/>
        <v>0</v>
      </c>
      <c r="M60" s="42">
        <f t="shared" si="49"/>
        <v>0</v>
      </c>
    </row>
    <row r="61" spans="1:16" ht="15.5" thickTop="1" thickBot="1" x14ac:dyDescent="0.4">
      <c r="C61" s="99"/>
      <c r="D61" s="193"/>
      <c r="E61" s="17"/>
      <c r="F61" s="17"/>
      <c r="G61" s="17"/>
      <c r="H61" s="10"/>
      <c r="I61" s="17"/>
      <c r="J61" s="11"/>
      <c r="K61" s="17"/>
      <c r="L61" s="17"/>
      <c r="M61" s="11"/>
    </row>
    <row r="62" spans="1:16" ht="15" thickBot="1" x14ac:dyDescent="0.4">
      <c r="A62" s="46" t="s">
        <v>35</v>
      </c>
      <c r="B62" s="116">
        <f>SUM(B46:B50)</f>
        <v>-419354.05164999992</v>
      </c>
      <c r="C62" s="198">
        <f>(C13-SUM(C16:C20))+SUM(C54:C58)+B62</f>
        <v>-137220.29999999987</v>
      </c>
      <c r="D62" s="202">
        <f>(D13-SUM(D16:D20))+SUM(D54:D58)+C62</f>
        <v>-137220.29999999987</v>
      </c>
      <c r="E62" s="41">
        <f>(E13-SUM(E16:E20))+SUM(E54:E58)+D62</f>
        <v>-86608.099999999948</v>
      </c>
      <c r="F62" s="41">
        <f t="shared" ref="F62:M62" si="50">(F13-SUM(F16:F20))+SUM(F54:F58)+E62</f>
        <v>-46557.049999999937</v>
      </c>
      <c r="G62" s="108">
        <f t="shared" si="50"/>
        <v>-35973.019999999931</v>
      </c>
      <c r="H62" s="40">
        <f t="shared" si="50"/>
        <v>-36837.829999999987</v>
      </c>
      <c r="I62" s="41">
        <f t="shared" si="50"/>
        <v>44330.489999999962</v>
      </c>
      <c r="J62" s="61">
        <f t="shared" si="50"/>
        <v>148173.50999999995</v>
      </c>
      <c r="K62" s="159">
        <f t="shared" si="50"/>
        <v>278111.62343999994</v>
      </c>
      <c r="L62" s="108">
        <f t="shared" si="50"/>
        <v>536053.48298999993</v>
      </c>
      <c r="M62" s="61">
        <f t="shared" si="50"/>
        <v>208419.18589999987</v>
      </c>
    </row>
    <row r="63" spans="1:16" x14ac:dyDescent="0.35">
      <c r="A63" s="46" t="s">
        <v>12</v>
      </c>
      <c r="C63" s="117"/>
      <c r="D63" s="206"/>
      <c r="E63" s="17"/>
      <c r="F63" s="17"/>
      <c r="G63" s="17"/>
      <c r="H63" s="10"/>
      <c r="I63" s="17"/>
      <c r="J63" s="11"/>
      <c r="K63" s="17"/>
      <c r="L63" s="17"/>
      <c r="M63" s="11"/>
    </row>
    <row r="64" spans="1:16" ht="15" thickBot="1" x14ac:dyDescent="0.4">
      <c r="A64" s="37"/>
      <c r="B64" s="37"/>
      <c r="C64" s="144"/>
      <c r="D64" s="207"/>
      <c r="E64" s="44"/>
      <c r="F64" s="44"/>
      <c r="G64" s="44"/>
      <c r="H64" s="43"/>
      <c r="I64" s="44"/>
      <c r="J64" s="45"/>
      <c r="K64" s="44"/>
      <c r="L64" s="44"/>
      <c r="M64" s="45"/>
    </row>
    <row r="66" spans="1:13" x14ac:dyDescent="0.35">
      <c r="A66" s="69" t="s">
        <v>11</v>
      </c>
      <c r="B66" s="69"/>
      <c r="C66" s="69"/>
      <c r="D66" s="69"/>
    </row>
    <row r="67" spans="1:13" ht="34.5" customHeight="1" x14ac:dyDescent="0.35">
      <c r="A67" s="350" t="s">
        <v>297</v>
      </c>
      <c r="B67" s="356"/>
      <c r="C67" s="356"/>
      <c r="D67" s="356"/>
      <c r="E67" s="356"/>
      <c r="F67" s="356"/>
      <c r="G67" s="356"/>
      <c r="H67" s="356"/>
      <c r="I67" s="356"/>
      <c r="J67" s="356"/>
      <c r="K67" s="231"/>
      <c r="L67" s="232"/>
      <c r="M67" s="232"/>
    </row>
    <row r="68" spans="1:13" ht="55.5" customHeight="1" x14ac:dyDescent="0.35">
      <c r="A68" s="350" t="s">
        <v>290</v>
      </c>
      <c r="B68" s="356"/>
      <c r="C68" s="356"/>
      <c r="D68" s="356"/>
      <c r="E68" s="356"/>
      <c r="F68" s="356"/>
      <c r="G68" s="356"/>
      <c r="H68" s="356"/>
      <c r="I68" s="356"/>
      <c r="J68" s="356"/>
      <c r="K68" s="356"/>
      <c r="L68" s="232"/>
      <c r="M68" s="232"/>
    </row>
    <row r="69" spans="1:13" ht="27.65" customHeight="1" x14ac:dyDescent="0.35">
      <c r="A69" s="350" t="s">
        <v>300</v>
      </c>
      <c r="B69" s="356"/>
      <c r="C69" s="356"/>
      <c r="D69" s="356"/>
      <c r="E69" s="356"/>
      <c r="F69" s="356"/>
      <c r="G69" s="356"/>
      <c r="H69" s="356"/>
      <c r="I69" s="356"/>
      <c r="J69" s="356"/>
      <c r="K69" s="231"/>
      <c r="L69" s="232"/>
      <c r="M69" s="232"/>
    </row>
    <row r="70" spans="1:13" x14ac:dyDescent="0.35">
      <c r="A70" s="350" t="s">
        <v>304</v>
      </c>
      <c r="B70" s="356"/>
      <c r="C70" s="356"/>
      <c r="D70" s="356"/>
      <c r="E70" s="356"/>
      <c r="F70" s="356"/>
      <c r="G70" s="356"/>
      <c r="H70" s="356"/>
      <c r="I70" s="356"/>
      <c r="J70" s="356"/>
    </row>
    <row r="71" spans="1:13" x14ac:dyDescent="0.35">
      <c r="A71" s="63" t="s">
        <v>289</v>
      </c>
      <c r="B71" s="3"/>
      <c r="C71" s="3"/>
      <c r="D71" s="3"/>
      <c r="J71" s="4"/>
    </row>
    <row r="72" spans="1:13" x14ac:dyDescent="0.35">
      <c r="A72" s="3" t="s">
        <v>68</v>
      </c>
      <c r="B72" s="3"/>
      <c r="C72" s="3"/>
      <c r="D72" s="3"/>
    </row>
    <row r="73" spans="1:13" x14ac:dyDescent="0.35">
      <c r="A73" s="3"/>
      <c r="B73" s="3"/>
      <c r="C73" s="3"/>
      <c r="D73" s="3"/>
    </row>
    <row r="74" spans="1:13" ht="33" customHeight="1" x14ac:dyDescent="0.35">
      <c r="A74" s="346"/>
      <c r="B74" s="346"/>
      <c r="C74" s="346"/>
      <c r="D74" s="346"/>
      <c r="E74" s="346"/>
      <c r="F74" s="346"/>
      <c r="G74" s="346"/>
    </row>
  </sheetData>
  <mergeCells count="8">
    <mergeCell ref="A74:G74"/>
    <mergeCell ref="A69:J69"/>
    <mergeCell ref="E11:G11"/>
    <mergeCell ref="H11:J11"/>
    <mergeCell ref="K11:M11"/>
    <mergeCell ref="A67:J67"/>
    <mergeCell ref="A68:K68"/>
    <mergeCell ref="A70:J70"/>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4"/>
  <sheetViews>
    <sheetView workbookViewId="0">
      <selection activeCell="I10" sqref="I10"/>
    </sheetView>
  </sheetViews>
  <sheetFormatPr defaultRowHeight="14.5" x14ac:dyDescent="0.35"/>
  <cols>
    <col min="1" max="1" width="22.453125" customWidth="1"/>
    <col min="2" max="2" width="15.26953125" bestFit="1" customWidth="1"/>
    <col min="3" max="3" width="14.26953125" style="46" customWidth="1"/>
    <col min="4" max="4" width="13.26953125" bestFit="1" customWidth="1"/>
    <col min="5" max="5" width="10.81640625" bestFit="1" customWidth="1"/>
    <col min="6" max="6" width="12.26953125" bestFit="1" customWidth="1"/>
    <col min="7" max="7" width="13.1796875" customWidth="1"/>
    <col min="10" max="10" width="12.26953125" bestFit="1" customWidth="1"/>
  </cols>
  <sheetData>
    <row r="1" spans="1:7" x14ac:dyDescent="0.35">
      <c r="A1" s="63" t="str">
        <f>+'PPC Cycle 3'!A1</f>
        <v>Evergy Metro, Inc. - DSIM Rider Update Filed 06/01/2024</v>
      </c>
      <c r="B1" s="46"/>
      <c r="D1" s="46"/>
      <c r="E1" s="46"/>
    </row>
    <row r="2" spans="1:7" x14ac:dyDescent="0.35">
      <c r="A2" s="9" t="str">
        <f>+'PPC Cycle 3'!A2</f>
        <v>Projections for Cycle 3 July 2024 - June 2025 DSIM</v>
      </c>
      <c r="B2" s="46"/>
      <c r="D2" s="46"/>
      <c r="E2" s="46"/>
    </row>
    <row r="3" spans="1:7" ht="45.75" customHeight="1" x14ac:dyDescent="0.35">
      <c r="A3" s="46"/>
      <c r="B3" s="344" t="s">
        <v>95</v>
      </c>
      <c r="C3" s="344"/>
      <c r="D3" s="344"/>
      <c r="E3" s="46"/>
    </row>
    <row r="4" spans="1:7" ht="87" x14ac:dyDescent="0.35">
      <c r="A4" s="46"/>
      <c r="B4" s="70" t="s">
        <v>97</v>
      </c>
      <c r="C4" s="70" t="s">
        <v>98</v>
      </c>
      <c r="D4" s="70" t="s">
        <v>101</v>
      </c>
      <c r="E4" s="70" t="s">
        <v>99</v>
      </c>
      <c r="F4" s="70" t="s">
        <v>96</v>
      </c>
      <c r="G4" s="70" t="s">
        <v>102</v>
      </c>
    </row>
    <row r="5" spans="1:7" s="46" customFormat="1" x14ac:dyDescent="0.35">
      <c r="B5" s="70"/>
      <c r="C5" s="70"/>
      <c r="D5" s="70"/>
      <c r="E5" s="70"/>
      <c r="F5" s="70"/>
      <c r="G5" s="70"/>
    </row>
    <row r="6" spans="1:7" s="46" customFormat="1" x14ac:dyDescent="0.35">
      <c r="A6" s="246" t="s">
        <v>154</v>
      </c>
      <c r="B6" s="70"/>
      <c r="C6" s="70"/>
      <c r="D6" s="151"/>
    </row>
    <row r="7" spans="1:7" s="46" customFormat="1" x14ac:dyDescent="0.35">
      <c r="A7" s="20" t="s">
        <v>24</v>
      </c>
      <c r="B7" s="219">
        <f>+B19+B31+B43+B54+B65+B76+B87</f>
        <v>4794235.91</v>
      </c>
      <c r="C7" s="219">
        <f t="shared" ref="C7:E7" si="0">+C19+C31+C43+C54+C65+C76+C87</f>
        <v>-1258152.4000000001</v>
      </c>
      <c r="D7" s="219">
        <f t="shared" si="0"/>
        <v>-1966966.39</v>
      </c>
      <c r="E7" s="219">
        <f t="shared" si="0"/>
        <v>-226635.55000000002</v>
      </c>
      <c r="F7" s="219">
        <f>SUM(B7:E7)</f>
        <v>1342481.5699999998</v>
      </c>
      <c r="G7" s="219">
        <f t="shared" ref="G7" si="1">+G19+G31+G43+G54+G65+G76+G87</f>
        <v>-20172.29</v>
      </c>
    </row>
    <row r="8" spans="1:7" s="46" customFormat="1" x14ac:dyDescent="0.35">
      <c r="A8" s="20" t="s">
        <v>25</v>
      </c>
      <c r="B8" s="219">
        <f>+B20+B32+B44+B55+B66+B77+B88</f>
        <v>5972530.4700000007</v>
      </c>
      <c r="C8" s="219">
        <f t="shared" ref="C8:E8" si="2">+C20+C32+C44+C55+C66+C77+C88</f>
        <v>1183835.67</v>
      </c>
      <c r="D8" s="219">
        <f t="shared" si="2"/>
        <v>-789722.13</v>
      </c>
      <c r="E8" s="219">
        <f t="shared" si="2"/>
        <v>95907.180000000008</v>
      </c>
      <c r="F8" s="219">
        <f>SUM(B8:E8)</f>
        <v>6462551.1900000004</v>
      </c>
      <c r="G8" s="219">
        <f t="shared" ref="G8" si="3">+G20+G32+G44+G55+G66+G77+G88</f>
        <v>-8144.4299999999994</v>
      </c>
    </row>
    <row r="9" spans="1:7" s="46" customFormat="1" x14ac:dyDescent="0.35">
      <c r="A9" s="20" t="s">
        <v>5</v>
      </c>
      <c r="B9" s="219">
        <f t="shared" ref="B9" si="4">SUM(B7:B8)</f>
        <v>10766766.380000001</v>
      </c>
      <c r="C9" s="219">
        <f t="shared" ref="C9:E9" si="5">SUM(C7:C8)</f>
        <v>-74316.730000000214</v>
      </c>
      <c r="D9" s="219">
        <f t="shared" si="5"/>
        <v>-2756688.52</v>
      </c>
      <c r="E9" s="219">
        <f t="shared" si="5"/>
        <v>-130728.37000000001</v>
      </c>
      <c r="F9" s="219">
        <f t="shared" ref="F9" si="6">SUM(F7:F8)</f>
        <v>7805032.7599999998</v>
      </c>
      <c r="G9" s="219">
        <f t="shared" ref="G9" si="7">SUM(G7:G8)</f>
        <v>-28316.720000000001</v>
      </c>
    </row>
    <row r="10" spans="1:7" s="46" customFormat="1" x14ac:dyDescent="0.35"/>
    <row r="11" spans="1:7" s="46" customFormat="1" x14ac:dyDescent="0.35">
      <c r="A11" s="20" t="s">
        <v>104</v>
      </c>
      <c r="B11" s="219">
        <f>+B23+B35+B47+B58+B69+B80+B91</f>
        <v>798822.8899999999</v>
      </c>
      <c r="C11" s="219">
        <f t="shared" ref="C11:E11" si="8">+C23+C35+C47+C58+C69+C80+C91</f>
        <v>-79228.649999999994</v>
      </c>
      <c r="D11" s="219">
        <f t="shared" si="8"/>
        <v>-511556.55999999994</v>
      </c>
      <c r="E11" s="219">
        <f t="shared" si="8"/>
        <v>-33212.129999999997</v>
      </c>
      <c r="F11" s="219">
        <f t="shared" ref="F11:F14" si="9">SUM(B11:E11)</f>
        <v>174825.54999999993</v>
      </c>
      <c r="G11" s="219">
        <f t="shared" ref="G11" si="10">+G23+G35+G47+G58+G69+G80+G91</f>
        <v>-8269.5499999999993</v>
      </c>
    </row>
    <row r="12" spans="1:7" s="46" customFormat="1" x14ac:dyDescent="0.35">
      <c r="A12" s="20" t="s">
        <v>105</v>
      </c>
      <c r="B12" s="219">
        <f>+B24+B36+B48+B59+B70+B81+B92</f>
        <v>2103656.44</v>
      </c>
      <c r="C12" s="219">
        <f t="shared" ref="C12:E12" si="11">+C24+C36+C48+C59+C70+C81+C92</f>
        <v>456857.95</v>
      </c>
      <c r="D12" s="219">
        <f t="shared" si="11"/>
        <v>69741.469999999972</v>
      </c>
      <c r="E12" s="219">
        <f t="shared" si="11"/>
        <v>68491.709999999992</v>
      </c>
      <c r="F12" s="219">
        <f t="shared" si="9"/>
        <v>2698747.5700000003</v>
      </c>
      <c r="G12" s="219">
        <f t="shared" ref="G12" si="12">+G24+G36+G48+G59+G70+G81+G92</f>
        <v>348.9899999999999</v>
      </c>
    </row>
    <row r="13" spans="1:7" s="46" customFormat="1" x14ac:dyDescent="0.35">
      <c r="A13" s="20" t="s">
        <v>106</v>
      </c>
      <c r="B13" s="219">
        <f>+B25+B37+B49+B60+B71+B82+B93</f>
        <v>2570767.7999999998</v>
      </c>
      <c r="C13" s="219">
        <f t="shared" ref="C13:E13" si="13">+C25+C37+C49+C60+C71+C82+C93</f>
        <v>313071.99</v>
      </c>
      <c r="D13" s="219">
        <f t="shared" si="13"/>
        <v>-174719.24999999997</v>
      </c>
      <c r="E13" s="219">
        <f t="shared" si="13"/>
        <v>35757.900000000009</v>
      </c>
      <c r="F13" s="219">
        <f t="shared" si="9"/>
        <v>2744878.44</v>
      </c>
      <c r="G13" s="219">
        <f t="shared" ref="G13" si="14">+G25+G37+G49+G60+G71+G82+G93</f>
        <v>-3547.6099999999997</v>
      </c>
    </row>
    <row r="14" spans="1:7" s="46" customFormat="1" x14ac:dyDescent="0.35">
      <c r="A14" s="20" t="s">
        <v>107</v>
      </c>
      <c r="B14" s="219">
        <f>+B26+B38+B50+B61+B72+B83+B94</f>
        <v>499283.36</v>
      </c>
      <c r="C14" s="219">
        <f t="shared" ref="C14:E14" si="15">+C26+C38+C50+C61+C72+C83+C94</f>
        <v>493134.38</v>
      </c>
      <c r="D14" s="219">
        <f t="shared" si="15"/>
        <v>-173187.79000000004</v>
      </c>
      <c r="E14" s="219">
        <f t="shared" si="15"/>
        <v>24869.7</v>
      </c>
      <c r="F14" s="219">
        <f t="shared" si="9"/>
        <v>844099.64999999991</v>
      </c>
      <c r="G14" s="219">
        <f t="shared" ref="G14" si="16">+G26+G38+G50+G61+G72+G83+G94</f>
        <v>3323.7400000000002</v>
      </c>
    </row>
    <row r="15" spans="1:7" s="46" customFormat="1" x14ac:dyDescent="0.35">
      <c r="A15" s="30" t="s">
        <v>109</v>
      </c>
      <c r="B15" s="219">
        <f t="shared" ref="B15" si="17">SUM(B11:B14)</f>
        <v>5972530.4900000002</v>
      </c>
      <c r="C15" s="219">
        <f t="shared" ref="C15:E15" si="18">SUM(C11:C14)</f>
        <v>1183835.67</v>
      </c>
      <c r="D15" s="219">
        <f t="shared" si="18"/>
        <v>-789722.13</v>
      </c>
      <c r="E15" s="219">
        <f t="shared" si="18"/>
        <v>95907.180000000008</v>
      </c>
      <c r="F15" s="219">
        <f t="shared" ref="F15" si="19">SUM(F11:F14)</f>
        <v>6462551.2100000009</v>
      </c>
      <c r="G15" s="219">
        <f t="shared" ref="G15" si="20">SUM(G11:G14)</f>
        <v>-8144.4299999999985</v>
      </c>
    </row>
    <row r="16" spans="1:7" s="46" customFormat="1" x14ac:dyDescent="0.35">
      <c r="E16" s="4"/>
    </row>
    <row r="17" spans="1:10" s="46" customFormat="1" x14ac:dyDescent="0.35">
      <c r="A17" s="20"/>
      <c r="B17" s="70"/>
      <c r="C17" s="70"/>
      <c r="D17" s="150"/>
    </row>
    <row r="18" spans="1:10" s="46" customFormat="1" x14ac:dyDescent="0.35">
      <c r="A18" s="246" t="s">
        <v>161</v>
      </c>
      <c r="B18" s="70"/>
      <c r="C18" s="70"/>
      <c r="D18" s="150"/>
    </row>
    <row r="19" spans="1:10" s="46" customFormat="1" x14ac:dyDescent="0.35">
      <c r="A19" s="20" t="s">
        <v>24</v>
      </c>
      <c r="B19" s="25">
        <v>3528190.07</v>
      </c>
      <c r="C19" s="25">
        <v>-1041427.6</v>
      </c>
      <c r="D19" s="25">
        <v>537465.77</v>
      </c>
      <c r="E19" s="25">
        <v>11386.11</v>
      </c>
      <c r="F19" s="219">
        <f>SUM(B19:E19)</f>
        <v>3035614.3499999996</v>
      </c>
      <c r="G19" s="219">
        <f>ROUND(F19/24*0,2)</f>
        <v>0</v>
      </c>
    </row>
    <row r="20" spans="1:10" s="46" customFormat="1" x14ac:dyDescent="0.35">
      <c r="A20" s="20" t="s">
        <v>25</v>
      </c>
      <c r="B20" s="218">
        <v>4826270.37</v>
      </c>
      <c r="C20" s="218">
        <v>288583.98</v>
      </c>
      <c r="D20" s="218">
        <v>662688.41</v>
      </c>
      <c r="E20" s="218">
        <v>41412.159999999996</v>
      </c>
      <c r="F20" s="219">
        <f>SUM(B20:E20)</f>
        <v>5818954.9199999999</v>
      </c>
      <c r="G20" s="219">
        <f>ROUND(F20/24*0,2)</f>
        <v>0</v>
      </c>
    </row>
    <row r="21" spans="1:10" s="46" customFormat="1" x14ac:dyDescent="0.35">
      <c r="A21" s="20" t="s">
        <v>5</v>
      </c>
      <c r="B21" s="219">
        <f t="shared" ref="B21:G21" si="21">SUM(B19:B20)</f>
        <v>8354460.4399999995</v>
      </c>
      <c r="C21" s="219">
        <f t="shared" si="21"/>
        <v>-752843.62</v>
      </c>
      <c r="D21" s="219">
        <f t="shared" si="21"/>
        <v>1200154.1800000002</v>
      </c>
      <c r="E21" s="219">
        <f t="shared" si="21"/>
        <v>52798.27</v>
      </c>
      <c r="F21" s="219">
        <f t="shared" si="21"/>
        <v>8854569.2699999996</v>
      </c>
      <c r="G21" s="219">
        <f t="shared" si="21"/>
        <v>0</v>
      </c>
    </row>
    <row r="22" spans="1:10" s="46" customFormat="1" x14ac:dyDescent="0.35">
      <c r="B22" s="216"/>
      <c r="C22" s="216"/>
      <c r="D22" s="217"/>
    </row>
    <row r="23" spans="1:10" x14ac:dyDescent="0.35">
      <c r="A23" s="20" t="s">
        <v>104</v>
      </c>
      <c r="B23" s="25">
        <v>674006.21</v>
      </c>
      <c r="C23" s="25">
        <v>-37272.29</v>
      </c>
      <c r="D23" s="25">
        <v>101225.02</v>
      </c>
      <c r="E23" s="218">
        <v>4637.5600000000004</v>
      </c>
      <c r="F23" s="219">
        <f t="shared" ref="F23:F26" si="22">SUM(B23:E23)</f>
        <v>742596.5</v>
      </c>
      <c r="G23" s="219">
        <f>ROUND(F23/24*0,2)</f>
        <v>0</v>
      </c>
      <c r="J23" s="46"/>
    </row>
    <row r="24" spans="1:10" x14ac:dyDescent="0.35">
      <c r="A24" s="20" t="s">
        <v>105</v>
      </c>
      <c r="B24" s="218">
        <v>1713084.19</v>
      </c>
      <c r="C24" s="218">
        <v>122147.33</v>
      </c>
      <c r="D24" s="218">
        <v>340699.47</v>
      </c>
      <c r="E24" s="218">
        <v>19663.03</v>
      </c>
      <c r="F24" s="219">
        <f t="shared" si="22"/>
        <v>2195594.02</v>
      </c>
      <c r="G24" s="219">
        <f>ROUND(F24/24*0,2)</f>
        <v>0</v>
      </c>
      <c r="J24" s="46"/>
    </row>
    <row r="25" spans="1:10" x14ac:dyDescent="0.35">
      <c r="A25" s="20" t="s">
        <v>106</v>
      </c>
      <c r="B25" s="25">
        <v>2024596.54</v>
      </c>
      <c r="C25" s="25">
        <v>169641.44</v>
      </c>
      <c r="D25" s="25">
        <v>191871.42</v>
      </c>
      <c r="E25" s="25">
        <v>15454.89</v>
      </c>
      <c r="F25" s="219">
        <f t="shared" si="22"/>
        <v>2401564.29</v>
      </c>
      <c r="G25" s="219">
        <f>ROUND(F25/24*0,2)</f>
        <v>0</v>
      </c>
      <c r="J25" s="46"/>
    </row>
    <row r="26" spans="1:10" x14ac:dyDescent="0.35">
      <c r="A26" s="20" t="s">
        <v>107</v>
      </c>
      <c r="B26" s="218">
        <v>414583.45</v>
      </c>
      <c r="C26" s="218">
        <v>34067.5</v>
      </c>
      <c r="D26" s="218">
        <v>28892.5</v>
      </c>
      <c r="E26" s="218">
        <v>1656.68</v>
      </c>
      <c r="F26" s="219">
        <f t="shared" si="22"/>
        <v>479200.13</v>
      </c>
      <c r="G26" s="219">
        <f>ROUND(F26/24*0,2)</f>
        <v>0</v>
      </c>
      <c r="J26" s="46"/>
    </row>
    <row r="27" spans="1:10" x14ac:dyDescent="0.35">
      <c r="A27" s="30" t="s">
        <v>109</v>
      </c>
      <c r="B27" s="219">
        <f>SUM(B23:B26)</f>
        <v>4826270.3899999997</v>
      </c>
      <c r="C27" s="219">
        <f>SUM(C23:C26)</f>
        <v>288583.98</v>
      </c>
      <c r="D27" s="219">
        <f t="shared" ref="D27:G27" si="23">SUM(D23:D26)</f>
        <v>662688.41</v>
      </c>
      <c r="E27" s="219">
        <f t="shared" si="23"/>
        <v>41412.159999999996</v>
      </c>
      <c r="F27" s="219">
        <f t="shared" si="23"/>
        <v>5818954.9400000004</v>
      </c>
      <c r="G27" s="219">
        <f t="shared" si="23"/>
        <v>0</v>
      </c>
      <c r="J27" s="46"/>
    </row>
    <row r="28" spans="1:10" x14ac:dyDescent="0.35">
      <c r="A28" s="46"/>
      <c r="B28" s="46"/>
      <c r="D28" s="46"/>
      <c r="E28" s="4"/>
      <c r="J28" s="46"/>
    </row>
    <row r="29" spans="1:10" s="46" customFormat="1" x14ac:dyDescent="0.35">
      <c r="E29" s="4"/>
    </row>
    <row r="30" spans="1:10" x14ac:dyDescent="0.35">
      <c r="A30" s="246" t="s">
        <v>162</v>
      </c>
      <c r="B30" s="46"/>
      <c r="D30" s="46"/>
      <c r="E30" s="46"/>
      <c r="J30" s="46"/>
    </row>
    <row r="31" spans="1:10" s="46" customFormat="1" x14ac:dyDescent="0.35">
      <c r="A31" s="20" t="s">
        <v>24</v>
      </c>
      <c r="B31" s="25">
        <v>1266045.8400000001</v>
      </c>
      <c r="C31" s="25">
        <v>-261684.95</v>
      </c>
      <c r="D31" s="25">
        <v>-1774297.12</v>
      </c>
      <c r="E31" s="25">
        <v>-89512.47</v>
      </c>
      <c r="F31" s="219">
        <f>SUM(B31:E31)</f>
        <v>-859448.7</v>
      </c>
      <c r="G31" s="219">
        <f>ROUND(F31/24*0,2)</f>
        <v>0</v>
      </c>
    </row>
    <row r="32" spans="1:10" s="46" customFormat="1" x14ac:dyDescent="0.35">
      <c r="A32" s="20" t="s">
        <v>25</v>
      </c>
      <c r="B32" s="218">
        <v>1146260.1000000001</v>
      </c>
      <c r="C32" s="218">
        <v>652330.12000000011</v>
      </c>
      <c r="D32" s="218">
        <v>-1070219.28</v>
      </c>
      <c r="E32" s="218">
        <v>60706.75</v>
      </c>
      <c r="F32" s="219">
        <f>SUM(B32:E32)</f>
        <v>789077.69000000018</v>
      </c>
      <c r="G32" s="219">
        <f>ROUND(F32/24*0,2)</f>
        <v>0</v>
      </c>
    </row>
    <row r="33" spans="1:17" s="46" customFormat="1" x14ac:dyDescent="0.35">
      <c r="A33" s="20" t="s">
        <v>5</v>
      </c>
      <c r="B33" s="219">
        <f t="shared" ref="B33:G33" si="24">SUM(B31:B32)</f>
        <v>2412305.9400000004</v>
      </c>
      <c r="C33" s="219">
        <f t="shared" si="24"/>
        <v>390645.1700000001</v>
      </c>
      <c r="D33" s="219">
        <f t="shared" si="24"/>
        <v>-2844516.4000000004</v>
      </c>
      <c r="E33" s="219">
        <f t="shared" si="24"/>
        <v>-28805.72</v>
      </c>
      <c r="F33" s="219">
        <f t="shared" si="24"/>
        <v>-70371.009999999776</v>
      </c>
      <c r="G33" s="219">
        <f t="shared" si="24"/>
        <v>0</v>
      </c>
    </row>
    <row r="34" spans="1:17" s="46" customFormat="1" x14ac:dyDescent="0.35">
      <c r="B34" s="216"/>
      <c r="C34" s="216"/>
      <c r="D34" s="217"/>
    </row>
    <row r="35" spans="1:17" s="46" customFormat="1" x14ac:dyDescent="0.35">
      <c r="A35" s="20" t="s">
        <v>104</v>
      </c>
      <c r="B35" s="25">
        <v>124816.68</v>
      </c>
      <c r="C35" s="25">
        <v>-31690.68</v>
      </c>
      <c r="D35" s="25">
        <v>-451100.9</v>
      </c>
      <c r="E35" s="218">
        <v>-6747.99</v>
      </c>
      <c r="F35" s="219">
        <f t="shared" ref="F35:F38" si="25">SUM(B35:E35)</f>
        <v>-364722.89</v>
      </c>
      <c r="G35" s="219">
        <f>ROUND(F35/24*0,2)</f>
        <v>0</v>
      </c>
    </row>
    <row r="36" spans="1:17" s="46" customFormat="1" x14ac:dyDescent="0.35">
      <c r="A36" s="20" t="s">
        <v>105</v>
      </c>
      <c r="B36" s="218">
        <v>390572.25</v>
      </c>
      <c r="C36" s="218">
        <v>243638.01</v>
      </c>
      <c r="D36" s="218">
        <v>-201296.23</v>
      </c>
      <c r="E36" s="218">
        <v>35332.660000000003</v>
      </c>
      <c r="F36" s="219">
        <f t="shared" si="25"/>
        <v>468246.69000000006</v>
      </c>
      <c r="G36" s="219">
        <f>ROUND(F36/24*0,2)</f>
        <v>0</v>
      </c>
    </row>
    <row r="37" spans="1:17" s="46" customFormat="1" x14ac:dyDescent="0.35">
      <c r="A37" s="20" t="s">
        <v>106</v>
      </c>
      <c r="B37" s="25">
        <v>546171.26</v>
      </c>
      <c r="C37" s="25">
        <v>104616.02</v>
      </c>
      <c r="D37" s="25">
        <v>-270192.05</v>
      </c>
      <c r="E37" s="25">
        <v>23076.27</v>
      </c>
      <c r="F37" s="219">
        <f t="shared" si="25"/>
        <v>403671.50000000006</v>
      </c>
      <c r="G37" s="219">
        <f>ROUND(F37/24*0,2)</f>
        <v>0</v>
      </c>
    </row>
    <row r="38" spans="1:17" s="46" customFormat="1" x14ac:dyDescent="0.35">
      <c r="A38" s="20" t="s">
        <v>107</v>
      </c>
      <c r="B38" s="218">
        <v>84699.91</v>
      </c>
      <c r="C38" s="218">
        <v>335766.77</v>
      </c>
      <c r="D38" s="218">
        <v>-147630.1</v>
      </c>
      <c r="E38" s="218">
        <v>9045.81</v>
      </c>
      <c r="F38" s="219">
        <f t="shared" si="25"/>
        <v>281882.39000000007</v>
      </c>
      <c r="G38" s="219">
        <f>ROUND(F38/24*0,2)</f>
        <v>0</v>
      </c>
    </row>
    <row r="39" spans="1:17" s="46" customFormat="1" x14ac:dyDescent="0.35">
      <c r="A39" s="30" t="s">
        <v>109</v>
      </c>
      <c r="B39" s="219">
        <f>SUM(B35:B38)</f>
        <v>1146260.0999999999</v>
      </c>
      <c r="C39" s="219">
        <f>SUM(C35:C38)</f>
        <v>652330.12000000011</v>
      </c>
      <c r="D39" s="219">
        <f t="shared" ref="D39:G39" si="26">SUM(D35:D38)</f>
        <v>-1070219.28</v>
      </c>
      <c r="E39" s="219">
        <f t="shared" si="26"/>
        <v>60706.75</v>
      </c>
      <c r="F39" s="219">
        <f t="shared" si="26"/>
        <v>789077.69000000018</v>
      </c>
      <c r="G39" s="219">
        <f t="shared" si="26"/>
        <v>0</v>
      </c>
    </row>
    <row r="40" spans="1:17" s="46" customFormat="1" x14ac:dyDescent="0.35">
      <c r="E40" s="4"/>
    </row>
    <row r="41" spans="1:17" x14ac:dyDescent="0.35">
      <c r="A41" s="46"/>
      <c r="B41" s="46"/>
      <c r="D41" s="46"/>
      <c r="E41" s="46"/>
      <c r="J41" s="46"/>
    </row>
    <row r="42" spans="1:17" s="46" customFormat="1" x14ac:dyDescent="0.35">
      <c r="A42" s="246" t="s">
        <v>163</v>
      </c>
      <c r="K42" s="302"/>
      <c r="L42" s="302"/>
      <c r="M42" s="302"/>
      <c r="N42" s="302"/>
      <c r="O42" s="302"/>
      <c r="P42" s="302"/>
      <c r="Q42" s="302"/>
    </row>
    <row r="43" spans="1:17" s="46" customFormat="1" x14ac:dyDescent="0.35">
      <c r="A43" s="20" t="s">
        <v>24</v>
      </c>
      <c r="B43" s="25">
        <v>0</v>
      </c>
      <c r="C43" s="25">
        <v>8894.23</v>
      </c>
      <c r="D43" s="25">
        <v>-668670.34</v>
      </c>
      <c r="E43" s="25">
        <v>-51414.78</v>
      </c>
      <c r="F43" s="219">
        <f>SUM(B43:E43)</f>
        <v>-711190.89</v>
      </c>
      <c r="G43" s="219">
        <f>ROUND(F43/24*0,2)</f>
        <v>0</v>
      </c>
      <c r="K43" s="303"/>
      <c r="L43" s="303"/>
    </row>
    <row r="44" spans="1:17" s="46" customFormat="1" x14ac:dyDescent="0.35">
      <c r="A44" s="20" t="s">
        <v>25</v>
      </c>
      <c r="B44" s="218">
        <v>0</v>
      </c>
      <c r="C44" s="218">
        <v>219063.11</v>
      </c>
      <c r="D44" s="218">
        <v>-354279.85</v>
      </c>
      <c r="E44" s="218">
        <v>10216.190000000002</v>
      </c>
      <c r="F44" s="219">
        <f>SUM(B44:E44)</f>
        <v>-125000.54999999999</v>
      </c>
      <c r="G44" s="219">
        <f>ROUND(F44/24*0,2)</f>
        <v>0</v>
      </c>
    </row>
    <row r="45" spans="1:17" s="46" customFormat="1" x14ac:dyDescent="0.35">
      <c r="A45" s="20" t="s">
        <v>5</v>
      </c>
      <c r="B45" s="219">
        <f t="shared" ref="B45:G45" si="27">SUM(B43:B44)</f>
        <v>0</v>
      </c>
      <c r="C45" s="219">
        <f t="shared" si="27"/>
        <v>227957.34</v>
      </c>
      <c r="D45" s="219">
        <f t="shared" si="27"/>
        <v>-1022950.19</v>
      </c>
      <c r="E45" s="219">
        <f t="shared" si="27"/>
        <v>-41198.589999999997</v>
      </c>
      <c r="F45" s="219">
        <f t="shared" si="27"/>
        <v>-836191.44</v>
      </c>
      <c r="G45" s="219">
        <f t="shared" si="27"/>
        <v>0</v>
      </c>
    </row>
    <row r="46" spans="1:17" s="46" customFormat="1" x14ac:dyDescent="0.35">
      <c r="B46" s="216"/>
      <c r="C46" s="216"/>
      <c r="D46" s="217"/>
    </row>
    <row r="47" spans="1:17" s="46" customFormat="1" x14ac:dyDescent="0.35">
      <c r="A47" s="20" t="s">
        <v>104</v>
      </c>
      <c r="B47" s="25">
        <v>0</v>
      </c>
      <c r="C47" s="25">
        <v>-10762.26</v>
      </c>
      <c r="D47" s="25">
        <v>-149794.82999999999</v>
      </c>
      <c r="E47" s="218">
        <v>-8503.82</v>
      </c>
      <c r="F47" s="219">
        <f t="shared" ref="F47:F50" si="28">SUM(B47:E47)</f>
        <v>-169060.91</v>
      </c>
      <c r="G47" s="219">
        <f>ROUND(F47/24*0,2)</f>
        <v>0</v>
      </c>
      <c r="K47" s="303"/>
      <c r="L47" s="303"/>
    </row>
    <row r="48" spans="1:17" s="46" customFormat="1" x14ac:dyDescent="0.35">
      <c r="A48" s="20" t="s">
        <v>105</v>
      </c>
      <c r="B48" s="218">
        <v>0</v>
      </c>
      <c r="C48" s="218">
        <v>81670.7</v>
      </c>
      <c r="D48" s="218">
        <v>-64576.77</v>
      </c>
      <c r="E48" s="218">
        <v>9912.11</v>
      </c>
      <c r="F48" s="219">
        <f t="shared" si="28"/>
        <v>27006.04</v>
      </c>
      <c r="G48" s="219">
        <f>ROUND(F48/24*0,2)</f>
        <v>0</v>
      </c>
      <c r="K48" s="303"/>
      <c r="L48" s="303"/>
    </row>
    <row r="49" spans="1:17" s="46" customFormat="1" x14ac:dyDescent="0.35">
      <c r="A49" s="20" t="s">
        <v>106</v>
      </c>
      <c r="B49" s="25">
        <v>0</v>
      </c>
      <c r="C49" s="25">
        <v>34542.74</v>
      </c>
      <c r="D49" s="25">
        <v>-89753.7</v>
      </c>
      <c r="E49" s="25">
        <v>3787.3</v>
      </c>
      <c r="F49" s="219">
        <f t="shared" si="28"/>
        <v>-51423.659999999996</v>
      </c>
      <c r="G49" s="219">
        <f>ROUND(F49/24*0,2)</f>
        <v>0</v>
      </c>
      <c r="K49" s="303"/>
      <c r="L49" s="303"/>
    </row>
    <row r="50" spans="1:17" s="46" customFormat="1" x14ac:dyDescent="0.35">
      <c r="A50" s="20" t="s">
        <v>107</v>
      </c>
      <c r="B50" s="218">
        <v>0</v>
      </c>
      <c r="C50" s="218">
        <v>113611.93</v>
      </c>
      <c r="D50" s="218">
        <v>-50154.55</v>
      </c>
      <c r="E50" s="218">
        <v>5020.6000000000004</v>
      </c>
      <c r="F50" s="219">
        <f t="shared" si="28"/>
        <v>68477.98</v>
      </c>
      <c r="G50" s="219">
        <f>ROUND(F50/24*0,2)</f>
        <v>0</v>
      </c>
      <c r="K50" s="303"/>
      <c r="L50" s="303"/>
    </row>
    <row r="51" spans="1:17" s="46" customFormat="1" x14ac:dyDescent="0.35">
      <c r="A51" s="30" t="s">
        <v>109</v>
      </c>
      <c r="B51" s="219">
        <f>SUM(B47:B50)</f>
        <v>0</v>
      </c>
      <c r="C51" s="219">
        <f>SUM(C47:C50)</f>
        <v>219063.11</v>
      </c>
      <c r="D51" s="219">
        <f t="shared" ref="D51:G51" si="29">SUM(D47:D50)</f>
        <v>-354279.85</v>
      </c>
      <c r="E51" s="219">
        <f t="shared" si="29"/>
        <v>10216.190000000002</v>
      </c>
      <c r="F51" s="219">
        <f t="shared" si="29"/>
        <v>-125000.55</v>
      </c>
      <c r="G51" s="219">
        <f t="shared" si="29"/>
        <v>0</v>
      </c>
    </row>
    <row r="52" spans="1:17" s="46" customFormat="1" x14ac:dyDescent="0.35">
      <c r="E52" s="4"/>
    </row>
    <row r="53" spans="1:17" s="46" customFormat="1" x14ac:dyDescent="0.35">
      <c r="A53" s="246" t="s">
        <v>164</v>
      </c>
    </row>
    <row r="54" spans="1:17" s="46" customFormat="1" x14ac:dyDescent="0.35">
      <c r="A54" s="20" t="s">
        <v>24</v>
      </c>
      <c r="B54" s="25">
        <v>0</v>
      </c>
      <c r="C54" s="25">
        <v>0</v>
      </c>
      <c r="D54" s="25">
        <v>0</v>
      </c>
      <c r="E54" s="25">
        <v>-46354.43</v>
      </c>
      <c r="F54" s="219">
        <f>SUM(B54:E54)</f>
        <v>-46354.43</v>
      </c>
      <c r="G54" s="219">
        <f>ROUND(F54/24*0,2)</f>
        <v>0</v>
      </c>
      <c r="K54" s="303"/>
      <c r="L54" s="303"/>
      <c r="M54" s="303"/>
      <c r="N54" s="303"/>
      <c r="O54" s="303"/>
      <c r="P54" s="303"/>
      <c r="Q54" s="303"/>
    </row>
    <row r="55" spans="1:17" s="46" customFormat="1" x14ac:dyDescent="0.35">
      <c r="A55" s="20" t="s">
        <v>25</v>
      </c>
      <c r="B55" s="218">
        <v>0</v>
      </c>
      <c r="C55" s="218">
        <f>SUM(C58:C61)</f>
        <v>0</v>
      </c>
      <c r="D55" s="218">
        <f t="shared" ref="D55:G55" si="30">SUM(D58:D61)</f>
        <v>0</v>
      </c>
      <c r="E55" s="218">
        <v>2949.1899999999991</v>
      </c>
      <c r="F55" s="219">
        <f>SUM(B55:E55)</f>
        <v>2949.1899999999991</v>
      </c>
      <c r="G55" s="219">
        <f t="shared" si="30"/>
        <v>0</v>
      </c>
    </row>
    <row r="56" spans="1:17" s="46" customFormat="1" x14ac:dyDescent="0.35">
      <c r="A56" s="20" t="s">
        <v>5</v>
      </c>
      <c r="B56" s="219">
        <f t="shared" ref="B56:G56" si="31">SUM(B54:B55)</f>
        <v>0</v>
      </c>
      <c r="C56" s="219">
        <f t="shared" si="31"/>
        <v>0</v>
      </c>
      <c r="D56" s="219">
        <f t="shared" si="31"/>
        <v>0</v>
      </c>
      <c r="E56" s="219">
        <f t="shared" si="31"/>
        <v>-43405.24</v>
      </c>
      <c r="F56" s="219">
        <f t="shared" si="31"/>
        <v>-43405.24</v>
      </c>
      <c r="G56" s="219">
        <f t="shared" si="31"/>
        <v>0</v>
      </c>
    </row>
    <row r="57" spans="1:17" s="46" customFormat="1" x14ac:dyDescent="0.35">
      <c r="B57" s="216"/>
      <c r="C57" s="216"/>
      <c r="D57" s="217"/>
    </row>
    <row r="58" spans="1:17" s="46" customFormat="1" x14ac:dyDescent="0.35">
      <c r="A58" s="20" t="s">
        <v>104</v>
      </c>
      <c r="B58" s="25">
        <v>0</v>
      </c>
      <c r="C58" s="25">
        <v>0</v>
      </c>
      <c r="D58" s="25">
        <v>0</v>
      </c>
      <c r="E58" s="218">
        <v>-8810.09</v>
      </c>
      <c r="F58" s="219">
        <f t="shared" ref="F58:F61" si="32">SUM(B58:E58)</f>
        <v>-8810.09</v>
      </c>
      <c r="G58" s="219">
        <f t="shared" ref="G58:G61" si="33">ROUND(F58/24*0,2)</f>
        <v>0</v>
      </c>
      <c r="K58" s="303"/>
      <c r="L58" s="303"/>
      <c r="M58" s="303"/>
      <c r="N58" s="303"/>
      <c r="O58" s="303"/>
      <c r="P58" s="303"/>
      <c r="Q58" s="303"/>
    </row>
    <row r="59" spans="1:17" s="46" customFormat="1" x14ac:dyDescent="0.35">
      <c r="A59" s="20" t="s">
        <v>105</v>
      </c>
      <c r="B59" s="218">
        <v>0</v>
      </c>
      <c r="C59" s="218">
        <v>0</v>
      </c>
      <c r="D59" s="218">
        <v>0</v>
      </c>
      <c r="E59" s="218">
        <v>6289.37</v>
      </c>
      <c r="F59" s="219">
        <f t="shared" si="32"/>
        <v>6289.37</v>
      </c>
      <c r="G59" s="219">
        <f t="shared" si="33"/>
        <v>0</v>
      </c>
      <c r="K59" s="303"/>
      <c r="L59" s="303"/>
      <c r="M59" s="303"/>
      <c r="N59" s="303"/>
      <c r="O59" s="303"/>
      <c r="P59" s="303"/>
      <c r="Q59" s="303"/>
    </row>
    <row r="60" spans="1:17" s="46" customFormat="1" x14ac:dyDescent="0.35">
      <c r="A60" s="20" t="s">
        <v>106</v>
      </c>
      <c r="B60" s="25">
        <v>0</v>
      </c>
      <c r="C60" s="25">
        <v>0</v>
      </c>
      <c r="D60" s="25">
        <v>0</v>
      </c>
      <c r="E60" s="25">
        <v>1003.18</v>
      </c>
      <c r="F60" s="219">
        <f t="shared" si="32"/>
        <v>1003.18</v>
      </c>
      <c r="G60" s="219">
        <f t="shared" si="33"/>
        <v>0</v>
      </c>
      <c r="K60" s="303"/>
      <c r="L60" s="303"/>
      <c r="M60" s="303"/>
      <c r="N60" s="303"/>
      <c r="O60" s="303"/>
      <c r="P60" s="303"/>
      <c r="Q60" s="303"/>
    </row>
    <row r="61" spans="1:17" s="46" customFormat="1" x14ac:dyDescent="0.35">
      <c r="A61" s="20" t="s">
        <v>107</v>
      </c>
      <c r="B61" s="218">
        <v>0</v>
      </c>
      <c r="C61" s="218">
        <v>0</v>
      </c>
      <c r="D61" s="218">
        <v>0</v>
      </c>
      <c r="E61" s="218">
        <v>4466.7299999999996</v>
      </c>
      <c r="F61" s="219">
        <f t="shared" si="32"/>
        <v>4466.7299999999996</v>
      </c>
      <c r="G61" s="219">
        <f t="shared" si="33"/>
        <v>0</v>
      </c>
      <c r="K61" s="303"/>
      <c r="L61" s="303"/>
      <c r="M61" s="303"/>
      <c r="N61" s="303"/>
      <c r="O61" s="303"/>
      <c r="P61" s="303"/>
      <c r="Q61" s="303"/>
    </row>
    <row r="62" spans="1:17" s="46" customFormat="1" x14ac:dyDescent="0.35">
      <c r="A62" s="30" t="s">
        <v>109</v>
      </c>
      <c r="B62" s="219">
        <f>SUM(B58:B61)</f>
        <v>0</v>
      </c>
      <c r="C62" s="219">
        <f>SUM(C58:C61)</f>
        <v>0</v>
      </c>
      <c r="D62" s="219">
        <f t="shared" ref="D62:G62" si="34">SUM(D58:D61)</f>
        <v>0</v>
      </c>
      <c r="E62" s="219">
        <f t="shared" si="34"/>
        <v>2949.1899999999991</v>
      </c>
      <c r="F62" s="219">
        <f t="shared" si="34"/>
        <v>2949.1899999999991</v>
      </c>
      <c r="G62" s="219">
        <f t="shared" si="34"/>
        <v>0</v>
      </c>
    </row>
    <row r="63" spans="1:17" s="46" customFormat="1" x14ac:dyDescent="0.35">
      <c r="E63" s="4"/>
    </row>
    <row r="64" spans="1:17" s="46" customFormat="1" x14ac:dyDescent="0.35">
      <c r="A64" s="246" t="s">
        <v>167</v>
      </c>
    </row>
    <row r="65" spans="1:17" s="46" customFormat="1" x14ac:dyDescent="0.35">
      <c r="A65" s="20" t="s">
        <v>24</v>
      </c>
      <c r="B65" s="25">
        <v>0</v>
      </c>
      <c r="C65" s="25">
        <v>0</v>
      </c>
      <c r="D65" s="25">
        <v>0</v>
      </c>
      <c r="E65" s="25">
        <v>-32712.49</v>
      </c>
      <c r="F65" s="219">
        <f>SUM(B65:E65)</f>
        <v>-32712.49</v>
      </c>
      <c r="G65" s="219">
        <f>ROUND(F65/24*1,2)</f>
        <v>-1363.02</v>
      </c>
      <c r="K65" s="303"/>
      <c r="L65" s="303"/>
      <c r="M65" s="303"/>
      <c r="N65" s="303"/>
      <c r="O65" s="303"/>
      <c r="P65" s="303"/>
      <c r="Q65" s="303"/>
    </row>
    <row r="66" spans="1:17" s="46" customFormat="1" x14ac:dyDescent="0.35">
      <c r="A66" s="20" t="s">
        <v>25</v>
      </c>
      <c r="B66" s="218">
        <v>0</v>
      </c>
      <c r="C66" s="218">
        <f>SUM(C69:C72)</f>
        <v>0</v>
      </c>
      <c r="D66" s="218">
        <f t="shared" ref="D66" si="35">SUM(D69:D72)</f>
        <v>0</v>
      </c>
      <c r="E66" s="218">
        <v>-4051.89</v>
      </c>
      <c r="F66" s="219">
        <f>SUM(B66:E66)</f>
        <v>-4051.89</v>
      </c>
      <c r="G66" s="219">
        <f t="shared" ref="G66" si="36">SUM(G69:G72)</f>
        <v>-168.83</v>
      </c>
    </row>
    <row r="67" spans="1:17" s="46" customFormat="1" x14ac:dyDescent="0.35">
      <c r="A67" s="20" t="s">
        <v>5</v>
      </c>
      <c r="B67" s="219">
        <f t="shared" ref="B67:G67" si="37">SUM(B65:B66)</f>
        <v>0</v>
      </c>
      <c r="C67" s="219">
        <f t="shared" si="37"/>
        <v>0</v>
      </c>
      <c r="D67" s="219">
        <f t="shared" si="37"/>
        <v>0</v>
      </c>
      <c r="E67" s="219">
        <f t="shared" si="37"/>
        <v>-36764.380000000005</v>
      </c>
      <c r="F67" s="219">
        <f t="shared" si="37"/>
        <v>-36764.380000000005</v>
      </c>
      <c r="G67" s="219">
        <f t="shared" si="37"/>
        <v>-1531.85</v>
      </c>
    </row>
    <row r="68" spans="1:17" s="46" customFormat="1" x14ac:dyDescent="0.35">
      <c r="B68" s="216"/>
      <c r="C68" s="216"/>
      <c r="D68" s="217"/>
    </row>
    <row r="69" spans="1:17" s="46" customFormat="1" x14ac:dyDescent="0.35">
      <c r="A69" s="20" t="s">
        <v>104</v>
      </c>
      <c r="B69" s="25">
        <v>0</v>
      </c>
      <c r="C69" s="25">
        <v>0</v>
      </c>
      <c r="D69" s="25">
        <v>0</v>
      </c>
      <c r="E69" s="218">
        <v>-7422.34</v>
      </c>
      <c r="F69" s="219">
        <f t="shared" ref="F69:F72" si="38">SUM(B69:E69)</f>
        <v>-7422.34</v>
      </c>
      <c r="G69" s="219">
        <f t="shared" ref="G69:G72" si="39">ROUND(F69/24*1,2)</f>
        <v>-309.26</v>
      </c>
      <c r="K69" s="303"/>
      <c r="L69" s="303"/>
      <c r="M69" s="303"/>
      <c r="N69" s="303"/>
      <c r="O69" s="303"/>
      <c r="P69" s="303"/>
      <c r="Q69" s="303"/>
    </row>
    <row r="70" spans="1:17" s="46" customFormat="1" x14ac:dyDescent="0.35">
      <c r="A70" s="20" t="s">
        <v>105</v>
      </c>
      <c r="B70" s="218">
        <v>0</v>
      </c>
      <c r="C70" s="218">
        <v>0</v>
      </c>
      <c r="D70" s="218">
        <v>0</v>
      </c>
      <c r="E70" s="218">
        <v>1875.39</v>
      </c>
      <c r="F70" s="219">
        <f t="shared" si="38"/>
        <v>1875.39</v>
      </c>
      <c r="G70" s="219">
        <f t="shared" si="39"/>
        <v>78.14</v>
      </c>
      <c r="K70" s="303"/>
      <c r="L70" s="303"/>
      <c r="M70" s="303"/>
      <c r="N70" s="303"/>
      <c r="O70" s="303"/>
      <c r="P70" s="303"/>
      <c r="Q70" s="303"/>
    </row>
    <row r="71" spans="1:17" s="46" customFormat="1" x14ac:dyDescent="0.35">
      <c r="A71" s="20" t="s">
        <v>106</v>
      </c>
      <c r="B71" s="25">
        <v>0</v>
      </c>
      <c r="C71" s="25">
        <v>0</v>
      </c>
      <c r="D71" s="25">
        <v>0</v>
      </c>
      <c r="E71" s="25">
        <v>-1646.59</v>
      </c>
      <c r="F71" s="219">
        <f t="shared" si="38"/>
        <v>-1646.59</v>
      </c>
      <c r="G71" s="219">
        <f t="shared" si="39"/>
        <v>-68.61</v>
      </c>
      <c r="K71" s="303"/>
      <c r="L71" s="303"/>
      <c r="M71" s="303"/>
      <c r="N71" s="303"/>
      <c r="O71" s="303"/>
      <c r="P71" s="303"/>
      <c r="Q71" s="303"/>
    </row>
    <row r="72" spans="1:17" s="46" customFormat="1" x14ac:dyDescent="0.35">
      <c r="A72" s="20" t="s">
        <v>107</v>
      </c>
      <c r="B72" s="218">
        <v>0</v>
      </c>
      <c r="C72" s="218">
        <v>0</v>
      </c>
      <c r="D72" s="218">
        <v>0</v>
      </c>
      <c r="E72" s="218">
        <v>3141.65</v>
      </c>
      <c r="F72" s="219">
        <f t="shared" si="38"/>
        <v>3141.65</v>
      </c>
      <c r="G72" s="219">
        <f t="shared" si="39"/>
        <v>130.9</v>
      </c>
      <c r="K72" s="303"/>
      <c r="L72" s="303"/>
      <c r="M72" s="303"/>
      <c r="N72" s="303"/>
      <c r="O72" s="303"/>
      <c r="P72" s="303"/>
      <c r="Q72" s="303"/>
    </row>
    <row r="73" spans="1:17" s="46" customFormat="1" x14ac:dyDescent="0.35">
      <c r="A73" s="30" t="s">
        <v>109</v>
      </c>
      <c r="B73" s="219">
        <f>SUM(B69:B72)</f>
        <v>0</v>
      </c>
      <c r="C73" s="219">
        <f>SUM(C69:C72)</f>
        <v>0</v>
      </c>
      <c r="D73" s="219">
        <f t="shared" ref="D73:G73" si="40">SUM(D69:D72)</f>
        <v>0</v>
      </c>
      <c r="E73" s="219">
        <f t="shared" si="40"/>
        <v>-4051.89</v>
      </c>
      <c r="F73" s="219">
        <f t="shared" si="40"/>
        <v>-4051.89</v>
      </c>
      <c r="G73" s="219">
        <f t="shared" si="40"/>
        <v>-168.83</v>
      </c>
    </row>
    <row r="74" spans="1:17" s="46" customFormat="1" x14ac:dyDescent="0.35">
      <c r="E74" s="4"/>
    </row>
    <row r="75" spans="1:17" s="46" customFormat="1" ht="14.25" customHeight="1" x14ac:dyDescent="0.35">
      <c r="A75" s="246" t="s">
        <v>176</v>
      </c>
    </row>
    <row r="76" spans="1:17" s="46" customFormat="1" x14ac:dyDescent="0.35">
      <c r="A76" s="20" t="s">
        <v>24</v>
      </c>
      <c r="B76" s="25">
        <v>0</v>
      </c>
      <c r="C76" s="25">
        <v>0</v>
      </c>
      <c r="D76" s="25">
        <v>0</v>
      </c>
      <c r="E76" s="25">
        <v>-13938.6</v>
      </c>
      <c r="F76" s="219">
        <f>SUM(B76:E76)</f>
        <v>-13938.6</v>
      </c>
      <c r="G76" s="219">
        <f>ROUND(F76/24*7,2)</f>
        <v>-4065.43</v>
      </c>
      <c r="K76" s="303"/>
      <c r="L76" s="303"/>
      <c r="M76" s="303"/>
      <c r="N76" s="303"/>
      <c r="O76" s="303"/>
      <c r="P76" s="303"/>
      <c r="Q76" s="303"/>
    </row>
    <row r="77" spans="1:17" s="46" customFormat="1" x14ac:dyDescent="0.35">
      <c r="A77" s="20" t="s">
        <v>25</v>
      </c>
      <c r="B77" s="218">
        <v>0</v>
      </c>
      <c r="C77" s="218">
        <f>SUM(C80:C83)</f>
        <v>0</v>
      </c>
      <c r="D77" s="218">
        <f t="shared" ref="D77" si="41">SUM(D80:D83)</f>
        <v>0</v>
      </c>
      <c r="E77" s="218">
        <v>-8224.73</v>
      </c>
      <c r="F77" s="219">
        <f>SUM(B77:E77)</f>
        <v>-8224.73</v>
      </c>
      <c r="G77" s="219">
        <f t="shared" ref="G77" si="42">SUM(G80:G83)</f>
        <v>-2398.88</v>
      </c>
    </row>
    <row r="78" spans="1:17" s="46" customFormat="1" x14ac:dyDescent="0.35">
      <c r="A78" s="20" t="s">
        <v>5</v>
      </c>
      <c r="B78" s="219">
        <f t="shared" ref="B78:G78" si="43">SUM(B76:B77)</f>
        <v>0</v>
      </c>
      <c r="C78" s="219">
        <f t="shared" si="43"/>
        <v>0</v>
      </c>
      <c r="D78" s="219">
        <f t="shared" si="43"/>
        <v>0</v>
      </c>
      <c r="E78" s="219">
        <f t="shared" si="43"/>
        <v>-22163.33</v>
      </c>
      <c r="F78" s="219">
        <f t="shared" si="43"/>
        <v>-22163.33</v>
      </c>
      <c r="G78" s="219">
        <f t="shared" si="43"/>
        <v>-6464.3099999999995</v>
      </c>
    </row>
    <row r="79" spans="1:17" s="46" customFormat="1" x14ac:dyDescent="0.35">
      <c r="B79" s="216"/>
      <c r="C79" s="216"/>
      <c r="D79" s="217"/>
    </row>
    <row r="80" spans="1:17" s="46" customFormat="1" x14ac:dyDescent="0.35">
      <c r="A80" s="20" t="s">
        <v>104</v>
      </c>
      <c r="B80" s="25">
        <v>0</v>
      </c>
      <c r="C80" s="25">
        <v>0</v>
      </c>
      <c r="D80" s="25">
        <v>0</v>
      </c>
      <c r="E80" s="218">
        <v>-4401.96</v>
      </c>
      <c r="F80" s="219">
        <f t="shared" ref="F80:F83" si="44">SUM(B80:E80)</f>
        <v>-4401.96</v>
      </c>
      <c r="G80" s="219">
        <f t="shared" ref="G80:G83" si="45">ROUND(F80/24*7,2)</f>
        <v>-1283.9100000000001</v>
      </c>
      <c r="K80" s="303"/>
      <c r="L80" s="303"/>
      <c r="M80" s="303"/>
      <c r="N80" s="303"/>
      <c r="O80" s="303"/>
      <c r="P80" s="303"/>
      <c r="Q80" s="303"/>
    </row>
    <row r="81" spans="1:17" s="46" customFormat="1" x14ac:dyDescent="0.35">
      <c r="A81" s="20" t="s">
        <v>105</v>
      </c>
      <c r="B81" s="218">
        <v>0</v>
      </c>
      <c r="C81" s="218">
        <v>0</v>
      </c>
      <c r="D81" s="218">
        <v>0</v>
      </c>
      <c r="E81" s="218">
        <v>-1933.52</v>
      </c>
      <c r="F81" s="219">
        <f t="shared" si="44"/>
        <v>-1933.52</v>
      </c>
      <c r="G81" s="219">
        <f t="shared" si="45"/>
        <v>-563.94000000000005</v>
      </c>
      <c r="K81" s="303"/>
      <c r="L81" s="303"/>
      <c r="M81" s="303"/>
      <c r="N81" s="303"/>
      <c r="O81" s="303"/>
      <c r="P81" s="303"/>
      <c r="Q81" s="303"/>
    </row>
    <row r="82" spans="1:17" s="46" customFormat="1" x14ac:dyDescent="0.35">
      <c r="A82" s="20" t="s">
        <v>106</v>
      </c>
      <c r="B82" s="25">
        <v>0</v>
      </c>
      <c r="C82" s="25">
        <v>0</v>
      </c>
      <c r="D82" s="25">
        <v>0</v>
      </c>
      <c r="E82" s="25">
        <v>-3197.51</v>
      </c>
      <c r="F82" s="219">
        <f t="shared" si="44"/>
        <v>-3197.51</v>
      </c>
      <c r="G82" s="219">
        <f t="shared" si="45"/>
        <v>-932.61</v>
      </c>
      <c r="K82" s="303"/>
      <c r="L82" s="303"/>
      <c r="M82" s="303"/>
      <c r="N82" s="303"/>
      <c r="O82" s="303"/>
      <c r="P82" s="303"/>
      <c r="Q82" s="303"/>
    </row>
    <row r="83" spans="1:17" s="46" customFormat="1" x14ac:dyDescent="0.35">
      <c r="A83" s="20" t="s">
        <v>107</v>
      </c>
      <c r="B83" s="218">
        <v>0</v>
      </c>
      <c r="C83" s="218">
        <v>0</v>
      </c>
      <c r="D83" s="218">
        <v>0</v>
      </c>
      <c r="E83" s="218">
        <v>1308.26</v>
      </c>
      <c r="F83" s="219">
        <f t="shared" si="44"/>
        <v>1308.26</v>
      </c>
      <c r="G83" s="219">
        <f t="shared" si="45"/>
        <v>381.58</v>
      </c>
      <c r="K83" s="303"/>
      <c r="L83" s="303"/>
      <c r="M83" s="303"/>
      <c r="N83" s="303"/>
      <c r="O83" s="303"/>
      <c r="P83" s="303"/>
      <c r="Q83" s="303"/>
    </row>
    <row r="84" spans="1:17" s="46" customFormat="1" x14ac:dyDescent="0.35">
      <c r="A84" s="30" t="s">
        <v>109</v>
      </c>
      <c r="B84" s="219">
        <f>SUM(B80:B83)</f>
        <v>0</v>
      </c>
      <c r="C84" s="219">
        <f>SUM(C80:C83)</f>
        <v>0</v>
      </c>
      <c r="D84" s="219">
        <f t="shared" ref="D84:G84" si="46">SUM(D80:D83)</f>
        <v>0</v>
      </c>
      <c r="E84" s="219">
        <f t="shared" si="46"/>
        <v>-8224.73</v>
      </c>
      <c r="F84" s="219">
        <f t="shared" si="46"/>
        <v>-8224.73</v>
      </c>
      <c r="G84" s="219">
        <f t="shared" si="46"/>
        <v>-2398.88</v>
      </c>
    </row>
    <row r="85" spans="1:17" s="46" customFormat="1" x14ac:dyDescent="0.35">
      <c r="E85" s="4"/>
    </row>
    <row r="86" spans="1:17" s="46" customFormat="1" ht="14.25" customHeight="1" x14ac:dyDescent="0.35">
      <c r="A86" s="289" t="s">
        <v>180</v>
      </c>
      <c r="K86" s="303"/>
      <c r="L86" s="303"/>
      <c r="M86" s="303"/>
      <c r="N86" s="303"/>
      <c r="O86" s="303"/>
    </row>
    <row r="87" spans="1:17" s="46" customFormat="1" x14ac:dyDescent="0.35">
      <c r="A87" s="20" t="s">
        <v>24</v>
      </c>
      <c r="B87" s="25">
        <v>0</v>
      </c>
      <c r="C87" s="25">
        <v>36065.919999999998</v>
      </c>
      <c r="D87" s="25">
        <v>-61464.7</v>
      </c>
      <c r="E87" s="25">
        <v>-4088.89</v>
      </c>
      <c r="F87" s="219">
        <f>SUM(B87:E87)</f>
        <v>-29487.67</v>
      </c>
      <c r="G87" s="219">
        <f>ROUND(F87/24*12,2)</f>
        <v>-14743.84</v>
      </c>
      <c r="K87" s="303"/>
      <c r="L87" s="303"/>
      <c r="M87" s="303"/>
      <c r="N87" s="303"/>
      <c r="O87" s="303"/>
      <c r="P87" s="303"/>
      <c r="Q87" s="303"/>
    </row>
    <row r="88" spans="1:17" s="46" customFormat="1" x14ac:dyDescent="0.35">
      <c r="A88" s="20" t="s">
        <v>25</v>
      </c>
      <c r="B88" s="218">
        <v>0</v>
      </c>
      <c r="C88" s="218">
        <v>23858.46</v>
      </c>
      <c r="D88" s="218">
        <v>-27911.409999999996</v>
      </c>
      <c r="E88" s="218">
        <v>-7100.4899999999989</v>
      </c>
      <c r="F88" s="219">
        <f>SUM(B88:E88)</f>
        <v>-11153.439999999995</v>
      </c>
      <c r="G88" s="219">
        <f t="shared" ref="G88" si="47">SUM(G91:G94)</f>
        <v>-5576.7199999999993</v>
      </c>
    </row>
    <row r="89" spans="1:17" s="46" customFormat="1" x14ac:dyDescent="0.35">
      <c r="A89" s="20" t="s">
        <v>5</v>
      </c>
      <c r="B89" s="219">
        <v>0</v>
      </c>
      <c r="C89" s="219">
        <v>59924.38</v>
      </c>
      <c r="D89" s="219">
        <v>-89376.109999999986</v>
      </c>
      <c r="E89" s="219">
        <v>-11189.38</v>
      </c>
      <c r="F89" s="219">
        <f t="shared" ref="F89:G89" si="48">SUM(F87:F88)</f>
        <v>-40641.109999999993</v>
      </c>
      <c r="G89" s="219">
        <f t="shared" si="48"/>
        <v>-20320.559999999998</v>
      </c>
    </row>
    <row r="90" spans="1:17" s="46" customFormat="1" x14ac:dyDescent="0.35">
      <c r="B90" s="216"/>
      <c r="C90" s="216"/>
      <c r="D90" s="217"/>
    </row>
    <row r="91" spans="1:17" s="46" customFormat="1" x14ac:dyDescent="0.35">
      <c r="A91" s="20" t="s">
        <v>104</v>
      </c>
      <c r="B91" s="25">
        <v>0</v>
      </c>
      <c r="C91" s="25">
        <v>496.58</v>
      </c>
      <c r="D91" s="25">
        <v>-11885.85</v>
      </c>
      <c r="E91" s="218">
        <v>-1963.49</v>
      </c>
      <c r="F91" s="219">
        <f t="shared" ref="F91:F94" si="49">SUM(B91:E91)</f>
        <v>-13352.76</v>
      </c>
      <c r="G91" s="219">
        <f>ROUND(F91/24*12,2)</f>
        <v>-6676.38</v>
      </c>
      <c r="K91" s="303"/>
      <c r="L91" s="303"/>
      <c r="M91" s="303"/>
      <c r="N91" s="303"/>
      <c r="O91" s="303"/>
      <c r="P91" s="303"/>
      <c r="Q91" s="303"/>
    </row>
    <row r="92" spans="1:17" s="46" customFormat="1" x14ac:dyDescent="0.35">
      <c r="A92" s="20" t="s">
        <v>105</v>
      </c>
      <c r="B92" s="218">
        <v>0</v>
      </c>
      <c r="C92" s="218">
        <v>9401.91</v>
      </c>
      <c r="D92" s="218">
        <v>-5085</v>
      </c>
      <c r="E92" s="218">
        <v>-2647.33</v>
      </c>
      <c r="F92" s="219">
        <f t="shared" si="49"/>
        <v>1669.58</v>
      </c>
      <c r="G92" s="219">
        <f>ROUND(F92/24*12,2)</f>
        <v>834.79</v>
      </c>
      <c r="K92" s="303"/>
      <c r="L92" s="303"/>
      <c r="M92" s="303"/>
      <c r="N92" s="303"/>
      <c r="O92" s="303"/>
      <c r="P92" s="303"/>
      <c r="Q92" s="303"/>
    </row>
    <row r="93" spans="1:17" s="46" customFormat="1" x14ac:dyDescent="0.35">
      <c r="A93" s="20" t="s">
        <v>106</v>
      </c>
      <c r="B93" s="25">
        <v>0</v>
      </c>
      <c r="C93" s="25">
        <v>4271.79</v>
      </c>
      <c r="D93" s="25">
        <v>-6644.92</v>
      </c>
      <c r="E93" s="25">
        <v>-2719.64</v>
      </c>
      <c r="F93" s="219">
        <f t="shared" si="49"/>
        <v>-5092.7700000000004</v>
      </c>
      <c r="G93" s="219">
        <f>ROUND(F93/24*12,2)</f>
        <v>-2546.39</v>
      </c>
      <c r="K93" s="303"/>
      <c r="L93" s="303"/>
      <c r="M93" s="303"/>
      <c r="N93" s="303"/>
      <c r="O93" s="303"/>
      <c r="P93" s="303"/>
      <c r="Q93" s="303"/>
    </row>
    <row r="94" spans="1:17" s="46" customFormat="1" x14ac:dyDescent="0.35">
      <c r="A94" s="20" t="s">
        <v>107</v>
      </c>
      <c r="B94" s="218">
        <v>0</v>
      </c>
      <c r="C94" s="218">
        <v>9688.18</v>
      </c>
      <c r="D94" s="218">
        <v>-4295.6400000000003</v>
      </c>
      <c r="E94" s="218">
        <v>229.97</v>
      </c>
      <c r="F94" s="219">
        <f t="shared" si="49"/>
        <v>5622.51</v>
      </c>
      <c r="G94" s="219">
        <f>ROUND(F94/24*12,2)</f>
        <v>2811.26</v>
      </c>
      <c r="K94" s="303"/>
      <c r="L94" s="303"/>
      <c r="M94" s="303"/>
      <c r="N94" s="303"/>
      <c r="O94" s="303"/>
      <c r="P94" s="303"/>
      <c r="Q94" s="303"/>
    </row>
    <row r="95" spans="1:17" s="46" customFormat="1" x14ac:dyDescent="0.35">
      <c r="A95" s="30" t="s">
        <v>109</v>
      </c>
      <c r="B95" s="219">
        <v>0</v>
      </c>
      <c r="C95" s="219">
        <v>23858.46</v>
      </c>
      <c r="D95" s="219">
        <v>-27911.409999999996</v>
      </c>
      <c r="E95" s="219">
        <v>-7100.4899999999989</v>
      </c>
      <c r="F95" s="219">
        <f t="shared" ref="F95:G95" si="50">SUM(F91:F94)</f>
        <v>-11153.44</v>
      </c>
      <c r="G95" s="219">
        <f t="shared" si="50"/>
        <v>-5576.7199999999993</v>
      </c>
    </row>
    <row r="96" spans="1:17" s="46" customFormat="1" x14ac:dyDescent="0.35">
      <c r="E96" s="4"/>
      <c r="J96" s="303"/>
      <c r="K96" s="303"/>
      <c r="L96" s="303"/>
      <c r="M96" s="303"/>
      <c r="N96" s="303"/>
      <c r="O96" s="303"/>
      <c r="P96" s="303"/>
      <c r="Q96" s="303"/>
    </row>
    <row r="97" spans="1:11" x14ac:dyDescent="0.35">
      <c r="A97" s="46"/>
      <c r="B97" s="46"/>
      <c r="D97" s="46"/>
      <c r="E97" s="46"/>
    </row>
    <row r="98" spans="1:11" x14ac:dyDescent="0.35">
      <c r="A98" s="53" t="s">
        <v>11</v>
      </c>
      <c r="B98" s="46"/>
      <c r="D98" s="46"/>
      <c r="E98" s="46"/>
    </row>
    <row r="99" spans="1:11" x14ac:dyDescent="0.35">
      <c r="A99" s="3" t="s">
        <v>155</v>
      </c>
      <c r="B99" s="46"/>
      <c r="D99" s="46"/>
      <c r="E99" s="46"/>
    </row>
    <row r="100" spans="1:11" s="46" customFormat="1" x14ac:dyDescent="0.35">
      <c r="A100" s="3" t="s">
        <v>227</v>
      </c>
    </row>
    <row r="101" spans="1:11" s="46" customFormat="1" x14ac:dyDescent="0.35">
      <c r="A101" s="3" t="s">
        <v>228</v>
      </c>
    </row>
    <row r="102" spans="1:11" x14ac:dyDescent="0.35">
      <c r="A102" s="3" t="s">
        <v>229</v>
      </c>
      <c r="B102" s="46"/>
      <c r="D102" s="46"/>
      <c r="E102" s="46"/>
    </row>
    <row r="103" spans="1:11" s="46" customFormat="1" x14ac:dyDescent="0.35">
      <c r="A103" s="3" t="s">
        <v>156</v>
      </c>
    </row>
    <row r="104" spans="1:11" ht="61.5" customHeight="1" x14ac:dyDescent="0.35">
      <c r="A104" s="343" t="s">
        <v>242</v>
      </c>
      <c r="B104" s="343"/>
      <c r="C104" s="343"/>
      <c r="D104" s="343"/>
      <c r="E104" s="343"/>
      <c r="F104" s="343"/>
      <c r="G104" s="343"/>
      <c r="H104" s="343"/>
      <c r="I104" s="343"/>
      <c r="J104" s="343"/>
      <c r="K104" s="343"/>
    </row>
  </sheetData>
  <mergeCells count="2">
    <mergeCell ref="B3:D3"/>
    <mergeCell ref="A104:K104"/>
  </mergeCells>
  <pageMargins left="0.2" right="0.2" top="0.75" bottom="0.25" header="0.3" footer="0.3"/>
  <pageSetup scale="32"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V120"/>
  <sheetViews>
    <sheetView zoomScale="85" zoomScaleNormal="85" workbookViewId="0">
      <pane xSplit="1" ySplit="4" topLeftCell="B5" activePane="bottomRight" state="frozen"/>
      <selection activeCell="E2" sqref="E2"/>
      <selection pane="topRight" activeCell="E2" sqref="E2"/>
      <selection pane="bottomLeft" activeCell="E2" sqref="E2"/>
      <selection pane="bottomRight" activeCell="G9" sqref="G9"/>
    </sheetView>
  </sheetViews>
  <sheetFormatPr defaultColWidth="8.7265625" defaultRowHeight="14.5" x14ac:dyDescent="0.35"/>
  <cols>
    <col min="1" max="1" width="22.453125" style="46" customWidth="1"/>
    <col min="2" max="2" width="15.26953125" style="46" bestFit="1" customWidth="1"/>
    <col min="3" max="3" width="14.26953125" style="46" customWidth="1"/>
    <col min="4" max="4" width="13.26953125" style="46" bestFit="1" customWidth="1"/>
    <col min="5" max="5" width="13.453125" style="46" bestFit="1" customWidth="1"/>
    <col min="6" max="6" width="11.54296875" style="46" bestFit="1" customWidth="1"/>
    <col min="7" max="7" width="13.1796875" style="46" customWidth="1"/>
    <col min="8" max="9" width="8.7265625" style="46"/>
    <col min="10" max="10" width="9.453125" style="46" bestFit="1" customWidth="1"/>
    <col min="11" max="11" width="8.7265625" style="46"/>
    <col min="12" max="17" width="10.1796875" style="46" customWidth="1"/>
    <col min="18" max="16384" width="8.7265625" style="46"/>
  </cols>
  <sheetData>
    <row r="1" spans="1:7" x14ac:dyDescent="0.35">
      <c r="A1" s="63" t="str">
        <f>+'PPC Cycle 3'!A1</f>
        <v>Evergy Metro, Inc. - DSIM Rider Update Filed 06/01/2024</v>
      </c>
    </row>
    <row r="2" spans="1:7" x14ac:dyDescent="0.35">
      <c r="A2" s="9" t="str">
        <f>+'PPC Cycle 3'!A2</f>
        <v>Projections for Cycle 3 July 2024 - June 2025 DSIM</v>
      </c>
    </row>
    <row r="3" spans="1:7" ht="45.75" customHeight="1" x14ac:dyDescent="0.35">
      <c r="B3" s="344" t="s">
        <v>159</v>
      </c>
      <c r="C3" s="344"/>
      <c r="D3" s="344"/>
    </row>
    <row r="4" spans="1:7" ht="87" x14ac:dyDescent="0.35">
      <c r="B4" s="70" t="s">
        <v>97</v>
      </c>
      <c r="C4" s="70" t="s">
        <v>98</v>
      </c>
      <c r="D4" s="70" t="s">
        <v>101</v>
      </c>
      <c r="E4" s="70" t="s">
        <v>99</v>
      </c>
      <c r="F4" s="70" t="s">
        <v>96</v>
      </c>
      <c r="G4" s="70" t="s">
        <v>160</v>
      </c>
    </row>
    <row r="5" spans="1:7" x14ac:dyDescent="0.35">
      <c r="B5" s="70"/>
      <c r="C5" s="70"/>
      <c r="D5" s="70"/>
      <c r="E5" s="70"/>
      <c r="F5" s="70"/>
      <c r="G5" s="70"/>
    </row>
    <row r="6" spans="1:7" x14ac:dyDescent="0.35">
      <c r="A6" s="246" t="s">
        <v>158</v>
      </c>
      <c r="B6" s="70"/>
      <c r="C6" s="70"/>
      <c r="D6" s="151"/>
    </row>
    <row r="7" spans="1:7" x14ac:dyDescent="0.35">
      <c r="A7" s="20" t="s">
        <v>24</v>
      </c>
      <c r="B7" s="219">
        <f>SUMIFS(B$16:B$114,$A$16:$A$114,$A7)</f>
        <v>5093745.16</v>
      </c>
      <c r="C7" s="219">
        <f t="shared" ref="C7:E7" si="0">SUMIFS(C$16:C$114,$A$16:$A$114,$A7)</f>
        <v>-57306.689999999915</v>
      </c>
      <c r="D7" s="219">
        <f t="shared" si="0"/>
        <v>-1141662.56</v>
      </c>
      <c r="E7" s="325">
        <f t="shared" si="0"/>
        <v>-124760.65000000001</v>
      </c>
      <c r="F7" s="219">
        <f>SUM(B7:E7)</f>
        <v>3770015.2600000007</v>
      </c>
      <c r="G7" s="219">
        <f>SUMIFS(G$16:G$114,$A$16:$A$114,$A7)</f>
        <v>1696989.13</v>
      </c>
    </row>
    <row r="8" spans="1:7" x14ac:dyDescent="0.35">
      <c r="A8" s="20" t="s">
        <v>25</v>
      </c>
      <c r="B8" s="219">
        <f>SUM(B11:B14)</f>
        <v>3704542.21</v>
      </c>
      <c r="C8" s="219">
        <f t="shared" ref="C8:E8" si="1">SUM(C11:C14)</f>
        <v>249381.12</v>
      </c>
      <c r="D8" s="219">
        <f t="shared" si="1"/>
        <v>-142860.10000000003</v>
      </c>
      <c r="E8" s="325">
        <f t="shared" si="1"/>
        <v>9328.56</v>
      </c>
      <c r="F8" s="219">
        <f>SUM(B8:E8)</f>
        <v>3820391.79</v>
      </c>
      <c r="G8" s="219">
        <f t="shared" ref="G8" si="2">SUM(G11:G14)</f>
        <v>1583273.7899999998</v>
      </c>
    </row>
    <row r="9" spans="1:7" x14ac:dyDescent="0.35">
      <c r="A9" s="20" t="s">
        <v>5</v>
      </c>
      <c r="B9" s="219">
        <f t="shared" ref="B9:E9" si="3">SUM(B7:B8)</f>
        <v>8798287.370000001</v>
      </c>
      <c r="C9" s="219">
        <f t="shared" si="3"/>
        <v>192074.43000000008</v>
      </c>
      <c r="D9" s="219">
        <f t="shared" si="3"/>
        <v>-1284522.6600000001</v>
      </c>
      <c r="E9" s="325">
        <f t="shared" si="3"/>
        <v>-115432.09000000001</v>
      </c>
      <c r="F9" s="219">
        <f t="shared" ref="F9" si="4">SUM(F7:F8)</f>
        <v>7590407.0500000007</v>
      </c>
      <c r="G9" s="219">
        <f t="shared" ref="G9" si="5">SUM(G7:G8)</f>
        <v>3280262.92</v>
      </c>
    </row>
    <row r="10" spans="1:7" x14ac:dyDescent="0.35">
      <c r="E10" s="326"/>
    </row>
    <row r="11" spans="1:7" x14ac:dyDescent="0.35">
      <c r="A11" s="20" t="s">
        <v>104</v>
      </c>
      <c r="B11" s="219">
        <f t="shared" ref="B11:E14" si="6">SUMIFS(B$16:B$114,$A$16:$A$114,$A11)</f>
        <v>468237.12</v>
      </c>
      <c r="C11" s="219">
        <f t="shared" si="6"/>
        <v>55671.640000000007</v>
      </c>
      <c r="D11" s="219">
        <f t="shared" si="6"/>
        <v>-40639.760000000009</v>
      </c>
      <c r="E11" s="325">
        <f t="shared" si="6"/>
        <v>35.269999999999925</v>
      </c>
      <c r="F11" s="219">
        <f t="shared" ref="F11:F14" si="7">SUM(B11:E11)</f>
        <v>483304.27</v>
      </c>
      <c r="G11" s="219">
        <f t="shared" ref="G11:G14" si="8">SUMIFS(G$16:G$114,$A$16:$A$114,$A11)</f>
        <v>237057.09</v>
      </c>
    </row>
    <row r="12" spans="1:7" x14ac:dyDescent="0.35">
      <c r="A12" s="20" t="s">
        <v>105</v>
      </c>
      <c r="B12" s="219">
        <f t="shared" si="6"/>
        <v>1076263.24</v>
      </c>
      <c r="C12" s="219">
        <f t="shared" si="6"/>
        <v>63217.220000000016</v>
      </c>
      <c r="D12" s="219">
        <f t="shared" si="6"/>
        <v>-47101.12000000001</v>
      </c>
      <c r="E12" s="325">
        <f t="shared" si="6"/>
        <v>2307.6000000000004</v>
      </c>
      <c r="F12" s="219">
        <f t="shared" si="7"/>
        <v>1094686.94</v>
      </c>
      <c r="G12" s="219">
        <f t="shared" si="8"/>
        <v>446494.19999999995</v>
      </c>
    </row>
    <row r="13" spans="1:7" x14ac:dyDescent="0.35">
      <c r="A13" s="20" t="s">
        <v>106</v>
      </c>
      <c r="B13" s="219">
        <f t="shared" si="6"/>
        <v>1843486.88</v>
      </c>
      <c r="C13" s="219">
        <f t="shared" si="6"/>
        <v>115674.45</v>
      </c>
      <c r="D13" s="219">
        <f t="shared" si="6"/>
        <v>-53297.030000000006</v>
      </c>
      <c r="E13" s="325">
        <f t="shared" si="6"/>
        <v>5352.39</v>
      </c>
      <c r="F13" s="219">
        <f t="shared" si="7"/>
        <v>1911216.6899999997</v>
      </c>
      <c r="G13" s="219">
        <f t="shared" si="8"/>
        <v>729836.86</v>
      </c>
    </row>
    <row r="14" spans="1:7" x14ac:dyDescent="0.35">
      <c r="A14" s="20" t="s">
        <v>107</v>
      </c>
      <c r="B14" s="219">
        <f t="shared" si="6"/>
        <v>316554.96999999997</v>
      </c>
      <c r="C14" s="219">
        <f t="shared" si="6"/>
        <v>14817.809999999998</v>
      </c>
      <c r="D14" s="219">
        <f t="shared" si="6"/>
        <v>-1822.19</v>
      </c>
      <c r="E14" s="325">
        <f t="shared" si="6"/>
        <v>1633.3</v>
      </c>
      <c r="F14" s="219">
        <f t="shared" si="7"/>
        <v>331183.88999999996</v>
      </c>
      <c r="G14" s="219">
        <f t="shared" si="8"/>
        <v>169885.63999999998</v>
      </c>
    </row>
    <row r="15" spans="1:7" x14ac:dyDescent="0.35">
      <c r="A15" s="30" t="s">
        <v>109</v>
      </c>
      <c r="B15" s="219">
        <f t="shared" ref="B15:E15" si="9">SUM(B11:B14)</f>
        <v>3704542.21</v>
      </c>
      <c r="C15" s="219">
        <f t="shared" si="9"/>
        <v>249381.12</v>
      </c>
      <c r="D15" s="219">
        <f t="shared" si="9"/>
        <v>-142860.10000000003</v>
      </c>
      <c r="E15" s="325">
        <f t="shared" si="9"/>
        <v>9328.56</v>
      </c>
      <c r="F15" s="219">
        <f t="shared" ref="F15" si="10">SUM(F11:F14)</f>
        <v>3820391.7899999996</v>
      </c>
      <c r="G15" s="219">
        <f t="shared" ref="G15" si="11">SUM(G11:G14)</f>
        <v>1583273.7899999998</v>
      </c>
    </row>
    <row r="16" spans="1:7" x14ac:dyDescent="0.35">
      <c r="E16" s="326"/>
    </row>
    <row r="17" spans="1:22" x14ac:dyDescent="0.35">
      <c r="A17" s="20"/>
      <c r="B17" s="70"/>
      <c r="C17" s="70"/>
      <c r="D17" s="150"/>
      <c r="E17" s="326"/>
    </row>
    <row r="18" spans="1:22" x14ac:dyDescent="0.35">
      <c r="A18" s="246" t="s">
        <v>165</v>
      </c>
      <c r="B18" s="70"/>
      <c r="C18" s="70"/>
      <c r="D18" s="150"/>
      <c r="E18" s="326"/>
    </row>
    <row r="19" spans="1:22" x14ac:dyDescent="0.35">
      <c r="A19" s="20" t="s">
        <v>24</v>
      </c>
      <c r="B19" s="25">
        <f>ROUND('[14]EO Matrix @Meter'!$R$20,2)</f>
        <v>1163217.68</v>
      </c>
      <c r="C19" s="25">
        <f>ROUND(SUM('[15]Ex Post Gross TD Calc'!$E$571:$Z$571),2)</f>
        <v>331067.99</v>
      </c>
      <c r="D19" s="25">
        <f>ROUND(SUM('[15]NTG TD Calc'!$E$436:$Z$436),2)</f>
        <v>-686548</v>
      </c>
      <c r="E19" s="327">
        <f>ROUND(SUM('[15]EO TD Carrying Costs'!$C$55:$X$55),2)</f>
        <v>-17626.7</v>
      </c>
      <c r="F19" s="219">
        <f>SUM(B19:E19)</f>
        <v>790110.97</v>
      </c>
      <c r="G19" s="219">
        <f>ROUND(F19/12*0,2)</f>
        <v>0</v>
      </c>
      <c r="L19" s="186"/>
      <c r="M19" s="186"/>
      <c r="N19" s="186"/>
      <c r="O19" s="186"/>
      <c r="P19" s="186"/>
      <c r="R19" s="4"/>
      <c r="S19" s="4"/>
      <c r="T19" s="4"/>
      <c r="U19" s="4"/>
      <c r="V19" s="4"/>
    </row>
    <row r="20" spans="1:22" x14ac:dyDescent="0.35">
      <c r="A20" s="20" t="s">
        <v>25</v>
      </c>
      <c r="B20" s="218">
        <f>ROUND(SUM(B23:B26),2)</f>
        <v>923233.23</v>
      </c>
      <c r="C20" s="218">
        <f>SUM(C23:C26)</f>
        <v>137591.55000000002</v>
      </c>
      <c r="D20" s="218">
        <f t="shared" ref="D20:G20" si="12">SUM(D23:D26)</f>
        <v>-89366.98</v>
      </c>
      <c r="E20" s="328">
        <f t="shared" si="12"/>
        <v>2905.83</v>
      </c>
      <c r="F20" s="219">
        <f>SUM(B20:E20)</f>
        <v>974363.63</v>
      </c>
      <c r="G20" s="219">
        <f t="shared" si="12"/>
        <v>0</v>
      </c>
      <c r="L20" s="186"/>
      <c r="M20" s="186"/>
      <c r="N20" s="186"/>
      <c r="O20" s="186"/>
      <c r="P20" s="186"/>
      <c r="R20" s="4"/>
      <c r="S20" s="4"/>
      <c r="T20" s="4"/>
      <c r="U20" s="4"/>
      <c r="V20" s="4"/>
    </row>
    <row r="21" spans="1:22" x14ac:dyDescent="0.35">
      <c r="A21" s="20" t="s">
        <v>5</v>
      </c>
      <c r="B21" s="219">
        <f t="shared" ref="B21:G21" si="13">SUM(B19:B20)</f>
        <v>2086450.91</v>
      </c>
      <c r="C21" s="219">
        <f t="shared" si="13"/>
        <v>468659.54000000004</v>
      </c>
      <c r="D21" s="219">
        <f t="shared" si="13"/>
        <v>-775914.98</v>
      </c>
      <c r="E21" s="325">
        <f t="shared" si="13"/>
        <v>-14720.87</v>
      </c>
      <c r="F21" s="219">
        <f t="shared" si="13"/>
        <v>1764474.6</v>
      </c>
      <c r="G21" s="219">
        <f t="shared" si="13"/>
        <v>0</v>
      </c>
      <c r="L21" s="186"/>
      <c r="M21" s="186"/>
      <c r="N21" s="186"/>
      <c r="O21" s="186"/>
      <c r="P21" s="186"/>
      <c r="R21" s="4"/>
      <c r="S21" s="4"/>
      <c r="T21" s="4"/>
      <c r="U21" s="4"/>
      <c r="V21" s="4"/>
    </row>
    <row r="22" spans="1:22" x14ac:dyDescent="0.35">
      <c r="B22" s="216"/>
      <c r="C22" s="216"/>
      <c r="D22" s="217"/>
      <c r="E22" s="326"/>
      <c r="L22" s="186"/>
      <c r="M22" s="186"/>
      <c r="N22" s="186"/>
      <c r="O22" s="186"/>
      <c r="P22" s="186"/>
    </row>
    <row r="23" spans="1:22" x14ac:dyDescent="0.35">
      <c r="A23" s="20" t="s">
        <v>104</v>
      </c>
      <c r="B23" s="25">
        <f>ROUND('[14]EO Matrix @Meter'!$V$20,2)</f>
        <v>89861.64</v>
      </c>
      <c r="C23" s="25">
        <f>ROUND(SUM('[15]Ex Post Gross TD Calc'!$E$572:$Z$572),2)</f>
        <v>30571.68</v>
      </c>
      <c r="D23" s="25">
        <f>ROUND(SUM('[15]NTG TD Calc'!$E$437:$Z$437),2)</f>
        <v>-25048.27</v>
      </c>
      <c r="E23" s="328">
        <f>ROUND(SUM('[15]EO TD Carrying Costs'!$C$56:$X$56),2)</f>
        <v>150.27000000000001</v>
      </c>
      <c r="F23" s="219">
        <f t="shared" ref="F23:F26" si="14">SUM(B23:E23)</f>
        <v>95535.32</v>
      </c>
      <c r="G23" s="219">
        <f>ROUND(F23/12*0,2)</f>
        <v>0</v>
      </c>
      <c r="L23" s="186"/>
      <c r="M23" s="186"/>
      <c r="N23" s="186"/>
      <c r="O23" s="186"/>
      <c r="P23" s="186"/>
      <c r="R23" s="4"/>
      <c r="S23" s="4"/>
      <c r="T23" s="4"/>
      <c r="U23" s="4"/>
      <c r="V23" s="4"/>
    </row>
    <row r="24" spans="1:22" x14ac:dyDescent="0.35">
      <c r="A24" s="20" t="s">
        <v>105</v>
      </c>
      <c r="B24" s="218">
        <f>ROUND('[14]EO Matrix @Meter'!$W$20,2)</f>
        <v>329114.67</v>
      </c>
      <c r="C24" s="218">
        <f>ROUND(SUM('[15]Ex Post Gross TD Calc'!$E$573:$Z$573),2)</f>
        <v>56526.62</v>
      </c>
      <c r="D24" s="218">
        <f>ROUND(SUM('[15]NTG TD Calc'!$E$438:$Z$438),2)</f>
        <v>-39695.9</v>
      </c>
      <c r="E24" s="328">
        <f>ROUND(SUM('[15]EO TD Carrying Costs'!$C$57:$X$57),2)</f>
        <v>964.19</v>
      </c>
      <c r="F24" s="219">
        <f t="shared" si="14"/>
        <v>346909.57999999996</v>
      </c>
      <c r="G24" s="219">
        <f t="shared" ref="G24:G26" si="15">ROUND(F24/12*0,2)</f>
        <v>0</v>
      </c>
      <c r="L24" s="186"/>
      <c r="M24" s="186"/>
      <c r="N24" s="186"/>
      <c r="O24" s="186"/>
      <c r="P24" s="186"/>
      <c r="R24" s="4"/>
      <c r="S24" s="4"/>
      <c r="T24" s="4"/>
      <c r="U24" s="4"/>
      <c r="V24" s="4"/>
    </row>
    <row r="25" spans="1:22" x14ac:dyDescent="0.35">
      <c r="A25" s="20" t="s">
        <v>106</v>
      </c>
      <c r="B25" s="25">
        <f>ROUND('[14]EO Matrix @Meter'!$X$20,2)</f>
        <v>441576.37</v>
      </c>
      <c r="C25" s="25">
        <f>ROUND(SUM('[15]Ex Post Gross TD Calc'!$E$574:$Z$574),2)</f>
        <v>44928.09</v>
      </c>
      <c r="D25" s="25">
        <f>ROUND(SUM('[15]NTG TD Calc'!$E$439:$Z$439),2)</f>
        <v>-23708.22</v>
      </c>
      <c r="E25" s="327">
        <f>ROUND(SUM('[15]EO TD Carrying Costs'!$C$58:$X$58),2)</f>
        <v>1389.19</v>
      </c>
      <c r="F25" s="219">
        <f t="shared" si="14"/>
        <v>464185.43</v>
      </c>
      <c r="G25" s="219">
        <f t="shared" si="15"/>
        <v>0</v>
      </c>
      <c r="L25" s="186"/>
      <c r="M25" s="186"/>
      <c r="N25" s="186"/>
      <c r="O25" s="186"/>
      <c r="P25" s="186"/>
      <c r="R25" s="4"/>
      <c r="S25" s="4"/>
      <c r="T25" s="4"/>
      <c r="U25" s="4"/>
      <c r="V25" s="4"/>
    </row>
    <row r="26" spans="1:22" x14ac:dyDescent="0.35">
      <c r="A26" s="20" t="s">
        <v>107</v>
      </c>
      <c r="B26" s="218">
        <f>ROUND('[14]EO Matrix @Meter'!$Y$20,2)</f>
        <v>62680.55</v>
      </c>
      <c r="C26" s="218">
        <f>ROUND(SUM('[15]Ex Post Gross TD Calc'!$E$575:$Z$575),2)</f>
        <v>5565.16</v>
      </c>
      <c r="D26" s="218">
        <f>ROUND(SUM('[15]NTG TD Calc'!$E$440:$Z$440),2)</f>
        <v>-914.59</v>
      </c>
      <c r="E26" s="328">
        <f>ROUND(SUM('[15]EO TD Carrying Costs'!$C$59:$X$59),2)</f>
        <v>402.18</v>
      </c>
      <c r="F26" s="219">
        <f t="shared" si="14"/>
        <v>67733.3</v>
      </c>
      <c r="G26" s="219">
        <f t="shared" si="15"/>
        <v>0</v>
      </c>
      <c r="L26" s="186"/>
      <c r="M26" s="186"/>
      <c r="N26" s="186"/>
      <c r="O26" s="186"/>
      <c r="P26" s="186"/>
      <c r="R26" s="4"/>
      <c r="S26" s="4"/>
      <c r="T26" s="4"/>
      <c r="U26" s="4"/>
      <c r="V26" s="4"/>
    </row>
    <row r="27" spans="1:22" x14ac:dyDescent="0.35">
      <c r="A27" s="30" t="s">
        <v>109</v>
      </c>
      <c r="B27" s="219">
        <f>SUM(B23:B26)</f>
        <v>923233.23</v>
      </c>
      <c r="C27" s="219">
        <f>SUM(C23:C26)</f>
        <v>137591.55000000002</v>
      </c>
      <c r="D27" s="219">
        <f t="shared" ref="D27:G27" si="16">SUM(D23:D26)</f>
        <v>-89366.98</v>
      </c>
      <c r="E27" s="325">
        <f t="shared" si="16"/>
        <v>2905.83</v>
      </c>
      <c r="F27" s="219">
        <f t="shared" si="16"/>
        <v>974363.63</v>
      </c>
      <c r="G27" s="219">
        <f t="shared" si="16"/>
        <v>0</v>
      </c>
      <c r="L27" s="186"/>
      <c r="M27" s="186"/>
      <c r="N27" s="186"/>
      <c r="O27" s="186"/>
      <c r="P27" s="186"/>
      <c r="R27" s="4"/>
      <c r="S27" s="4"/>
      <c r="T27" s="4"/>
      <c r="U27" s="4"/>
      <c r="V27" s="4"/>
    </row>
    <row r="28" spans="1:22" x14ac:dyDescent="0.35">
      <c r="E28" s="326"/>
    </row>
    <row r="29" spans="1:22" x14ac:dyDescent="0.35">
      <c r="E29" s="326"/>
    </row>
    <row r="30" spans="1:22" x14ac:dyDescent="0.35">
      <c r="A30" s="246" t="s">
        <v>168</v>
      </c>
      <c r="E30" s="326"/>
      <c r="J30" s="302"/>
      <c r="K30" s="302"/>
      <c r="L30" s="302"/>
      <c r="M30" s="302"/>
      <c r="N30" s="302"/>
      <c r="O30" s="302"/>
      <c r="P30" s="302"/>
      <c r="Q30" s="302"/>
    </row>
    <row r="31" spans="1:22" x14ac:dyDescent="0.35">
      <c r="A31" s="20" t="s">
        <v>24</v>
      </c>
      <c r="B31" s="25">
        <f>ROUND(0,2)</f>
        <v>0</v>
      </c>
      <c r="C31" s="25">
        <f>ROUND(SUM('[15]Ex Post Gross TD Calc'!$AA$571:$AF$571),2)</f>
        <v>121182.9</v>
      </c>
      <c r="D31" s="25">
        <f>ROUND(SUM('[15]NTG TD Calc'!$AA$436:$AF$436),2)</f>
        <v>-87029.97</v>
      </c>
      <c r="E31" s="327">
        <f>ROUND(SUM('[15]EO TD Carrying Costs'!$Y$55:$AD$55),2)</f>
        <v>-12821.55</v>
      </c>
      <c r="F31" s="219">
        <f>SUM(B31:E31)</f>
        <v>21331.379999999994</v>
      </c>
      <c r="G31" s="219">
        <f>ROUND(F31/12*0,2)</f>
        <v>0</v>
      </c>
      <c r="J31" s="303"/>
      <c r="K31" s="303"/>
      <c r="L31" s="303"/>
      <c r="M31" s="186"/>
      <c r="N31" s="186"/>
      <c r="O31" s="186"/>
      <c r="P31" s="186"/>
      <c r="R31" s="4"/>
      <c r="S31" s="4"/>
      <c r="T31" s="4"/>
      <c r="U31" s="4"/>
      <c r="V31" s="4"/>
    </row>
    <row r="32" spans="1:22" x14ac:dyDescent="0.35">
      <c r="A32" s="20" t="s">
        <v>25</v>
      </c>
      <c r="B32" s="218">
        <f>SUM(B35:B38)</f>
        <v>0</v>
      </c>
      <c r="C32" s="218">
        <f>SUM(C35:C38)</f>
        <v>37872.939999999995</v>
      </c>
      <c r="D32" s="218">
        <f t="shared" ref="D32:E32" si="17">SUM(D35:D38)</f>
        <v>-10592.6</v>
      </c>
      <c r="E32" s="328">
        <f t="shared" si="17"/>
        <v>2081.9299999999998</v>
      </c>
      <c r="F32" s="219">
        <f>SUM(B32:E32)</f>
        <v>29362.269999999997</v>
      </c>
      <c r="G32" s="219">
        <f>ROUND(F32/12*0,2)</f>
        <v>0</v>
      </c>
      <c r="M32" s="186"/>
      <c r="N32" s="186"/>
      <c r="O32" s="186"/>
      <c r="P32" s="186"/>
      <c r="R32" s="4"/>
      <c r="S32" s="4"/>
      <c r="T32" s="4"/>
      <c r="U32" s="4"/>
      <c r="V32" s="4"/>
    </row>
    <row r="33" spans="1:22" x14ac:dyDescent="0.35">
      <c r="A33" s="20" t="s">
        <v>5</v>
      </c>
      <c r="B33" s="219">
        <f t="shared" ref="B33:G33" si="18">SUM(B31:B32)</f>
        <v>0</v>
      </c>
      <c r="C33" s="219">
        <f t="shared" si="18"/>
        <v>159055.84</v>
      </c>
      <c r="D33" s="219">
        <f t="shared" si="18"/>
        <v>-97622.57</v>
      </c>
      <c r="E33" s="325">
        <f t="shared" si="18"/>
        <v>-10739.619999999999</v>
      </c>
      <c r="F33" s="219">
        <f t="shared" si="18"/>
        <v>50693.649999999994</v>
      </c>
      <c r="G33" s="219">
        <f t="shared" si="18"/>
        <v>0</v>
      </c>
      <c r="M33" s="186"/>
      <c r="N33" s="186"/>
      <c r="O33" s="186"/>
      <c r="P33" s="186"/>
      <c r="R33" s="4"/>
      <c r="S33" s="4"/>
      <c r="T33" s="4"/>
      <c r="U33" s="4"/>
      <c r="V33" s="4"/>
    </row>
    <row r="34" spans="1:22" x14ac:dyDescent="0.35">
      <c r="B34" s="216"/>
      <c r="C34" s="216"/>
      <c r="D34" s="217"/>
      <c r="E34" s="326"/>
      <c r="M34" s="186"/>
      <c r="N34" s="186"/>
      <c r="O34" s="186"/>
      <c r="P34" s="186"/>
    </row>
    <row r="35" spans="1:22" x14ac:dyDescent="0.35">
      <c r="A35" s="20" t="s">
        <v>104</v>
      </c>
      <c r="B35" s="25">
        <f>ROUND(0,2)</f>
        <v>0</v>
      </c>
      <c r="C35" s="25">
        <f>ROUND(SUM('[15]Ex Post Gross TD Calc'!$AA572:$AF572),2)</f>
        <v>7589.27</v>
      </c>
      <c r="D35" s="25">
        <f>ROUND(SUM('[15]NTG TD Calc'!$AA437:$AF437),2)</f>
        <v>-2344.38</v>
      </c>
      <c r="E35" s="328">
        <f>ROUND(SUM('[15]EO TD Carrying Costs'!$Y56:$AD56),2)</f>
        <v>256.27999999999997</v>
      </c>
      <c r="F35" s="219">
        <f t="shared" ref="F35:F38" si="19">SUM(B35:E35)</f>
        <v>5501.17</v>
      </c>
      <c r="G35" s="219">
        <f>ROUND(F35/12*0,2)</f>
        <v>0</v>
      </c>
      <c r="J35" s="303"/>
      <c r="K35" s="303"/>
      <c r="L35" s="303"/>
      <c r="M35" s="186"/>
      <c r="N35" s="186"/>
      <c r="O35" s="186"/>
      <c r="P35" s="186"/>
      <c r="R35" s="4"/>
      <c r="S35" s="4"/>
      <c r="T35" s="4"/>
      <c r="U35" s="4"/>
      <c r="V35" s="4"/>
    </row>
    <row r="36" spans="1:22" x14ac:dyDescent="0.35">
      <c r="A36" s="20" t="s">
        <v>105</v>
      </c>
      <c r="B36" s="218">
        <f>ROUND(0,2)</f>
        <v>0</v>
      </c>
      <c r="C36" s="218">
        <f>ROUND(SUM('[15]Ex Post Gross TD Calc'!$AA573:$AF573),2)</f>
        <v>17892.060000000001</v>
      </c>
      <c r="D36" s="218">
        <f>ROUND(SUM('[15]NTG TD Calc'!$AA438:$AF438),2)</f>
        <v>-5102.96</v>
      </c>
      <c r="E36" s="328">
        <f>ROUND(SUM('[15]EO TD Carrying Costs'!$Y57:$AD57),2)</f>
        <v>766.86</v>
      </c>
      <c r="F36" s="219">
        <f t="shared" si="19"/>
        <v>13555.960000000003</v>
      </c>
      <c r="G36" s="219">
        <f t="shared" ref="G36:G38" si="20">ROUND(F36/12*0,2)</f>
        <v>0</v>
      </c>
      <c r="J36" s="303"/>
      <c r="K36" s="303"/>
      <c r="L36" s="303"/>
      <c r="M36" s="186"/>
      <c r="N36" s="186"/>
      <c r="O36" s="186"/>
      <c r="P36" s="186"/>
      <c r="R36" s="4"/>
      <c r="S36" s="4"/>
      <c r="T36" s="4"/>
      <c r="U36" s="4"/>
      <c r="V36" s="4"/>
    </row>
    <row r="37" spans="1:22" x14ac:dyDescent="0.35">
      <c r="A37" s="20" t="s">
        <v>106</v>
      </c>
      <c r="B37" s="25">
        <f>ROUND(0,2)</f>
        <v>0</v>
      </c>
      <c r="C37" s="25">
        <f>ROUND(SUM('[15]Ex Post Gross TD Calc'!$AA574:$AF574),2)</f>
        <v>11918.09</v>
      </c>
      <c r="D37" s="25">
        <f>ROUND(SUM('[15]NTG TD Calc'!$AA439:$AF439),2)</f>
        <v>-2977.22</v>
      </c>
      <c r="E37" s="327">
        <f>ROUND(SUM('[15]EO TD Carrying Costs'!$Y58:$AD58),2)</f>
        <v>884.23</v>
      </c>
      <c r="F37" s="219">
        <f t="shared" si="19"/>
        <v>9825.1</v>
      </c>
      <c r="G37" s="219">
        <f t="shared" si="20"/>
        <v>0</v>
      </c>
      <c r="J37" s="303"/>
      <c r="K37" s="303"/>
      <c r="L37" s="303"/>
      <c r="M37" s="186"/>
      <c r="N37" s="186"/>
      <c r="O37" s="186"/>
      <c r="P37" s="186"/>
      <c r="R37" s="4"/>
      <c r="S37" s="4"/>
      <c r="T37" s="4"/>
      <c r="U37" s="4"/>
      <c r="V37" s="4"/>
    </row>
    <row r="38" spans="1:22" x14ac:dyDescent="0.35">
      <c r="A38" s="20" t="s">
        <v>107</v>
      </c>
      <c r="B38" s="218">
        <f>ROUND(0,2)</f>
        <v>0</v>
      </c>
      <c r="C38" s="218">
        <f>ROUND(SUM('[15]Ex Post Gross TD Calc'!$AA575:$AF575),2)</f>
        <v>473.52</v>
      </c>
      <c r="D38" s="218">
        <f>ROUND(SUM('[15]NTG TD Calc'!$AA440:$AF440),2)</f>
        <v>-168.04</v>
      </c>
      <c r="E38" s="328">
        <f>ROUND(SUM('[15]EO TD Carrying Costs'!$Y59:$AD59),2)</f>
        <v>174.56</v>
      </c>
      <c r="F38" s="219">
        <f t="shared" si="19"/>
        <v>480.04</v>
      </c>
      <c r="G38" s="219">
        <f t="shared" si="20"/>
        <v>0</v>
      </c>
      <c r="J38" s="303"/>
      <c r="K38" s="303"/>
      <c r="L38" s="303"/>
      <c r="M38" s="186"/>
      <c r="N38" s="186"/>
      <c r="O38" s="186"/>
      <c r="P38" s="186"/>
      <c r="R38" s="4"/>
      <c r="S38" s="4"/>
      <c r="T38" s="4"/>
      <c r="U38" s="4"/>
      <c r="V38" s="4"/>
    </row>
    <row r="39" spans="1:22" x14ac:dyDescent="0.35">
      <c r="A39" s="30" t="s">
        <v>109</v>
      </c>
      <c r="B39" s="219">
        <f>SUM(B35:B38)</f>
        <v>0</v>
      </c>
      <c r="C39" s="219">
        <f>SUM(C35:C38)</f>
        <v>37872.939999999995</v>
      </c>
      <c r="D39" s="219">
        <f t="shared" ref="D39:G39" si="21">SUM(D35:D38)</f>
        <v>-10592.6</v>
      </c>
      <c r="E39" s="325">
        <f t="shared" si="21"/>
        <v>2081.9299999999998</v>
      </c>
      <c r="F39" s="219">
        <f t="shared" si="21"/>
        <v>29362.270000000004</v>
      </c>
      <c r="G39" s="219">
        <f t="shared" si="21"/>
        <v>0</v>
      </c>
      <c r="L39" s="186"/>
      <c r="M39" s="186"/>
      <c r="N39" s="186"/>
      <c r="O39" s="186"/>
      <c r="P39" s="186"/>
      <c r="R39" s="4"/>
      <c r="S39" s="4"/>
      <c r="T39" s="4"/>
      <c r="U39" s="4"/>
      <c r="V39" s="4"/>
    </row>
    <row r="40" spans="1:22" x14ac:dyDescent="0.35">
      <c r="E40" s="326"/>
    </row>
    <row r="41" spans="1:22" x14ac:dyDescent="0.35">
      <c r="E41" s="326"/>
    </row>
    <row r="42" spans="1:22" x14ac:dyDescent="0.35">
      <c r="A42" s="246" t="s">
        <v>177</v>
      </c>
      <c r="E42" s="326"/>
      <c r="J42" s="302"/>
      <c r="K42" s="302"/>
      <c r="L42" s="302"/>
      <c r="M42" s="302"/>
      <c r="N42" s="302"/>
      <c r="O42" s="302"/>
      <c r="P42" s="302"/>
      <c r="Q42" s="302"/>
    </row>
    <row r="43" spans="1:22" x14ac:dyDescent="0.35">
      <c r="A43" s="20" t="s">
        <v>24</v>
      </c>
      <c r="B43" s="25">
        <f>ROUND(0,2)</f>
        <v>0</v>
      </c>
      <c r="C43" s="25">
        <f>ROUND(SUM('[15]Ex Post Gross TD Calc'!$AG$571:$AM$571),2)</f>
        <v>137657.76</v>
      </c>
      <c r="D43" s="25">
        <f>ROUND(SUM('[15]NTG TD Calc'!$AG$436:$AM$436),2)</f>
        <v>0.03</v>
      </c>
      <c r="E43" s="327">
        <f>ROUND(SUM('[15]EO TD Carrying Costs'!$AE$55:$AI$55),2)</f>
        <v>-8083.49</v>
      </c>
      <c r="F43" s="219">
        <f>SUM(B43:E43)</f>
        <v>129574.3</v>
      </c>
      <c r="G43" s="219">
        <f>ROUND(F43/12*0,2)</f>
        <v>0</v>
      </c>
      <c r="J43" s="303"/>
      <c r="K43" s="303"/>
      <c r="L43" s="303"/>
      <c r="M43" s="303"/>
      <c r="N43" s="303"/>
      <c r="O43" s="303"/>
      <c r="P43" s="303"/>
      <c r="Q43" s="303"/>
      <c r="R43" s="4"/>
      <c r="S43" s="4"/>
      <c r="T43" s="4"/>
      <c r="U43" s="4"/>
      <c r="V43" s="4"/>
    </row>
    <row r="44" spans="1:22" x14ac:dyDescent="0.35">
      <c r="A44" s="20" t="s">
        <v>25</v>
      </c>
      <c r="B44" s="218">
        <f>SUM(B47:B50)</f>
        <v>0</v>
      </c>
      <c r="C44" s="218">
        <f>SUM(C47:C50)</f>
        <v>59053.65</v>
      </c>
      <c r="D44" s="218">
        <f t="shared" ref="D44:E44" si="22">SUM(D47:D50)</f>
        <v>0.01</v>
      </c>
      <c r="E44" s="328">
        <f t="shared" si="22"/>
        <v>2774.88</v>
      </c>
      <c r="F44" s="219">
        <f>SUM(B44:E44)</f>
        <v>61828.54</v>
      </c>
      <c r="G44" s="219">
        <f>ROUND(F44/12*0,2)</f>
        <v>0</v>
      </c>
      <c r="R44" s="4"/>
      <c r="S44" s="4"/>
      <c r="T44" s="4"/>
      <c r="U44" s="4"/>
      <c r="V44" s="4"/>
    </row>
    <row r="45" spans="1:22" x14ac:dyDescent="0.35">
      <c r="A45" s="20" t="s">
        <v>5</v>
      </c>
      <c r="B45" s="219">
        <f t="shared" ref="B45:G45" si="23">SUM(B43:B44)</f>
        <v>0</v>
      </c>
      <c r="C45" s="219">
        <f t="shared" si="23"/>
        <v>196711.41</v>
      </c>
      <c r="D45" s="219">
        <f t="shared" si="23"/>
        <v>0.04</v>
      </c>
      <c r="E45" s="325">
        <f t="shared" si="23"/>
        <v>-5308.61</v>
      </c>
      <c r="F45" s="219">
        <f t="shared" si="23"/>
        <v>191402.84</v>
      </c>
      <c r="G45" s="219">
        <f t="shared" si="23"/>
        <v>0</v>
      </c>
      <c r="R45" s="4"/>
      <c r="S45" s="4"/>
      <c r="T45" s="4"/>
      <c r="U45" s="4"/>
      <c r="V45" s="4"/>
    </row>
    <row r="46" spans="1:22" x14ac:dyDescent="0.35">
      <c r="B46" s="216"/>
      <c r="C46" s="216"/>
      <c r="D46" s="217"/>
      <c r="E46" s="326"/>
    </row>
    <row r="47" spans="1:22" x14ac:dyDescent="0.35">
      <c r="A47" s="20" t="s">
        <v>104</v>
      </c>
      <c r="B47" s="25">
        <f>ROUND(0,2)</f>
        <v>0</v>
      </c>
      <c r="C47" s="25">
        <f>ROUND(SUM('[15]Ex Post Gross TD Calc'!$AG572:$AM572),2)</f>
        <v>13769.16</v>
      </c>
      <c r="D47" s="25">
        <f>ROUND(SUM('[15]NTG TD Calc'!$AG437:$AM437),2)</f>
        <v>0.02</v>
      </c>
      <c r="E47" s="328">
        <f>ROUND(SUM('[15]EO TD Carrying Costs'!$AE56:$AI56),2)</f>
        <v>443.83</v>
      </c>
      <c r="F47" s="219">
        <f t="shared" ref="F47:F50" si="24">SUM(B47:E47)</f>
        <v>14213.01</v>
      </c>
      <c r="G47" s="219">
        <f t="shared" ref="G47:G50" si="25">ROUND(F47/12*0,2)</f>
        <v>0</v>
      </c>
      <c r="J47" s="303"/>
      <c r="K47" s="303"/>
      <c r="L47" s="303"/>
      <c r="M47" s="303"/>
      <c r="N47" s="303"/>
      <c r="O47" s="303"/>
      <c r="P47" s="303"/>
      <c r="Q47" s="303"/>
      <c r="R47" s="4"/>
      <c r="S47" s="4"/>
      <c r="T47" s="4"/>
      <c r="U47" s="4"/>
      <c r="V47" s="4"/>
    </row>
    <row r="48" spans="1:22" x14ac:dyDescent="0.35">
      <c r="A48" s="20" t="s">
        <v>105</v>
      </c>
      <c r="B48" s="218">
        <f>ROUND(0,2)</f>
        <v>0</v>
      </c>
      <c r="C48" s="218">
        <f>ROUND(SUM('[15]Ex Post Gross TD Calc'!$AG573:$AM573),2)</f>
        <v>26875.279999999999</v>
      </c>
      <c r="D48" s="218">
        <f>ROUND(SUM('[15]NTG TD Calc'!$AG438:$AM438),2)</f>
        <v>0</v>
      </c>
      <c r="E48" s="328">
        <f>ROUND(SUM('[15]EO TD Carrying Costs'!$AE57:$AI57),2)</f>
        <v>1119.3900000000001</v>
      </c>
      <c r="F48" s="219">
        <f t="shared" si="24"/>
        <v>27994.67</v>
      </c>
      <c r="G48" s="219">
        <f t="shared" si="25"/>
        <v>0</v>
      </c>
      <c r="J48" s="303"/>
      <c r="K48" s="303"/>
      <c r="L48" s="303"/>
      <c r="M48" s="303"/>
      <c r="N48" s="303"/>
      <c r="O48" s="303"/>
      <c r="P48" s="303"/>
      <c r="Q48" s="303"/>
      <c r="R48" s="4"/>
      <c r="S48" s="4"/>
      <c r="T48" s="4"/>
      <c r="U48" s="4"/>
      <c r="V48" s="4"/>
    </row>
    <row r="49" spans="1:22" x14ac:dyDescent="0.35">
      <c r="A49" s="20" t="s">
        <v>106</v>
      </c>
      <c r="B49" s="25">
        <f>ROUND(0,2)</f>
        <v>0</v>
      </c>
      <c r="C49" s="25">
        <f>ROUND(SUM('[15]Ex Post Gross TD Calc'!$AG574:$AM574),2)</f>
        <v>17796.580000000002</v>
      </c>
      <c r="D49" s="25">
        <f>ROUND(SUM('[15]NTG TD Calc'!$AG439:$AM439),2)</f>
        <v>-0.02</v>
      </c>
      <c r="E49" s="328">
        <f>ROUND(SUM('[15]EO TD Carrying Costs'!$AE58:$AI58),2)</f>
        <v>1056.42</v>
      </c>
      <c r="F49" s="219">
        <f t="shared" si="24"/>
        <v>18852.980000000003</v>
      </c>
      <c r="G49" s="219">
        <f t="shared" si="25"/>
        <v>0</v>
      </c>
      <c r="J49" s="303"/>
      <c r="K49" s="303"/>
      <c r="L49" s="303"/>
      <c r="M49" s="303"/>
      <c r="N49" s="303"/>
      <c r="O49" s="303"/>
      <c r="P49" s="303"/>
      <c r="Q49" s="303"/>
      <c r="R49" s="4"/>
      <c r="S49" s="4"/>
      <c r="T49" s="4"/>
      <c r="U49" s="4"/>
      <c r="V49" s="4"/>
    </row>
    <row r="50" spans="1:22" x14ac:dyDescent="0.35">
      <c r="A50" s="20" t="s">
        <v>107</v>
      </c>
      <c r="B50" s="218">
        <f>ROUND(0,2)</f>
        <v>0</v>
      </c>
      <c r="C50" s="218">
        <f>ROUND(SUM('[15]Ex Post Gross TD Calc'!$AG575:$AM575),2)</f>
        <v>612.63</v>
      </c>
      <c r="D50" s="218">
        <f>ROUND(SUM('[15]NTG TD Calc'!$AG440:$AM440),2)</f>
        <v>0.01</v>
      </c>
      <c r="E50" s="328">
        <f>ROUND(SUM('[15]EO TD Carrying Costs'!$AE59:$AI59),2)</f>
        <v>155.24</v>
      </c>
      <c r="F50" s="219">
        <f t="shared" si="24"/>
        <v>767.88</v>
      </c>
      <c r="G50" s="219">
        <f t="shared" si="25"/>
        <v>0</v>
      </c>
      <c r="J50" s="303"/>
      <c r="K50" s="303"/>
      <c r="L50" s="303"/>
      <c r="M50" s="303"/>
      <c r="N50" s="303"/>
      <c r="O50" s="303"/>
      <c r="P50" s="303"/>
      <c r="Q50" s="303"/>
      <c r="R50" s="4"/>
      <c r="S50" s="4"/>
      <c r="T50" s="4"/>
      <c r="U50" s="4"/>
      <c r="V50" s="4"/>
    </row>
    <row r="51" spans="1:22" x14ac:dyDescent="0.35">
      <c r="A51" s="30" t="s">
        <v>109</v>
      </c>
      <c r="B51" s="219">
        <f>SUM(B47:B50)</f>
        <v>0</v>
      </c>
      <c r="C51" s="219">
        <f>SUM(C47:C50)</f>
        <v>59053.65</v>
      </c>
      <c r="D51" s="219">
        <f t="shared" ref="D51:G51" si="26">SUM(D47:D50)</f>
        <v>0.01</v>
      </c>
      <c r="E51" s="325">
        <f t="shared" si="26"/>
        <v>2774.88</v>
      </c>
      <c r="F51" s="219">
        <f t="shared" si="26"/>
        <v>61828.54</v>
      </c>
      <c r="G51" s="219">
        <f t="shared" si="26"/>
        <v>0</v>
      </c>
      <c r="L51" s="186"/>
      <c r="M51" s="186"/>
      <c r="N51" s="186"/>
      <c r="O51" s="186"/>
      <c r="P51" s="186"/>
      <c r="R51" s="4"/>
      <c r="S51" s="4"/>
      <c r="T51" s="4"/>
      <c r="U51" s="4"/>
      <c r="V51" s="4"/>
    </row>
    <row r="52" spans="1:22" x14ac:dyDescent="0.35">
      <c r="E52" s="326"/>
    </row>
    <row r="53" spans="1:22" x14ac:dyDescent="0.35">
      <c r="E53" s="326"/>
    </row>
    <row r="54" spans="1:22" x14ac:dyDescent="0.35">
      <c r="A54" s="246" t="s">
        <v>230</v>
      </c>
      <c r="E54" s="326"/>
      <c r="H54" s="39"/>
    </row>
    <row r="55" spans="1:22" x14ac:dyDescent="0.35">
      <c r="A55" s="20" t="s">
        <v>24</v>
      </c>
      <c r="B55" s="25">
        <f>ROUND(0,2)</f>
        <v>0</v>
      </c>
      <c r="C55" s="25">
        <f>ROUND(SUM('[15]Ex Post Gross TD Calc'!$AN$571:$AR$571),2)</f>
        <v>19484.43</v>
      </c>
      <c r="D55" s="25">
        <f>ROUND(SUM('[15]NTG TD Calc'!$AN$436:$AR$436),2)</f>
        <v>0</v>
      </c>
      <c r="E55" s="327">
        <f>ROUND(SUM('[15]EO TD Carrying Costs'!$AJ55:$AP55),2)</f>
        <v>-3751.12</v>
      </c>
      <c r="F55" s="219">
        <f>SUM(B55:E55)</f>
        <v>15733.310000000001</v>
      </c>
      <c r="G55" s="219">
        <f>ROUND(F55/12*7,2)</f>
        <v>9177.76</v>
      </c>
      <c r="H55" s="39"/>
    </row>
    <row r="56" spans="1:22" x14ac:dyDescent="0.35">
      <c r="A56" s="20" t="s">
        <v>25</v>
      </c>
      <c r="B56" s="218">
        <f>SUM(B59:B62)</f>
        <v>0</v>
      </c>
      <c r="C56" s="218">
        <f>SUM(C59:C62)</f>
        <v>6012.1399999999994</v>
      </c>
      <c r="D56" s="218">
        <f t="shared" ref="D56:E56" si="27">SUM(D59:D62)</f>
        <v>0.01</v>
      </c>
      <c r="E56" s="328">
        <f t="shared" si="27"/>
        <v>2260.19</v>
      </c>
      <c r="F56" s="219">
        <f>SUM(B56:E56)</f>
        <v>8272.34</v>
      </c>
      <c r="G56" s="219">
        <f>ROUND(F56/12*7,2)</f>
        <v>4825.53</v>
      </c>
      <c r="H56" s="39"/>
    </row>
    <row r="57" spans="1:22" x14ac:dyDescent="0.35">
      <c r="A57" s="20" t="s">
        <v>5</v>
      </c>
      <c r="B57" s="219">
        <f t="shared" ref="B57:G57" si="28">SUM(B55:B56)</f>
        <v>0</v>
      </c>
      <c r="C57" s="219">
        <f t="shared" si="28"/>
        <v>25496.57</v>
      </c>
      <c r="D57" s="219">
        <f t="shared" si="28"/>
        <v>0.01</v>
      </c>
      <c r="E57" s="325">
        <f t="shared" si="28"/>
        <v>-1490.9299999999998</v>
      </c>
      <c r="F57" s="219">
        <f t="shared" si="28"/>
        <v>24005.65</v>
      </c>
      <c r="G57" s="219">
        <f t="shared" si="28"/>
        <v>14003.29</v>
      </c>
      <c r="H57" s="39"/>
    </row>
    <row r="58" spans="1:22" x14ac:dyDescent="0.35">
      <c r="B58" s="216"/>
      <c r="C58" s="216"/>
      <c r="D58" s="217"/>
      <c r="E58" s="326"/>
      <c r="H58" s="39"/>
    </row>
    <row r="59" spans="1:22" x14ac:dyDescent="0.35">
      <c r="A59" s="20" t="s">
        <v>104</v>
      </c>
      <c r="B59" s="25">
        <f>ROUND(0,2)</f>
        <v>0</v>
      </c>
      <c r="C59" s="25">
        <f>ROUND(SUM('[15]Ex Post Gross TD Calc'!$AN572:$AR572),2)</f>
        <v>1215.73</v>
      </c>
      <c r="D59" s="25">
        <f>ROUND(SUM('[15]NTG TD Calc'!$AN437:$AR437),2)</f>
        <v>0.01</v>
      </c>
      <c r="E59" s="327">
        <f>ROUND(SUM('[15]EO TD Carrying Costs'!$AJ56:$AP56),2)</f>
        <v>402.1</v>
      </c>
      <c r="F59" s="219">
        <f t="shared" ref="F59:F62" si="29">SUM(B59:E59)</f>
        <v>1617.8400000000001</v>
      </c>
      <c r="G59" s="219">
        <f t="shared" ref="G59:G62" si="30">ROUND(F59/12*7,2)</f>
        <v>943.74</v>
      </c>
      <c r="H59" s="39"/>
    </row>
    <row r="60" spans="1:22" x14ac:dyDescent="0.35">
      <c r="A60" s="20" t="s">
        <v>105</v>
      </c>
      <c r="B60" s="218">
        <f>ROUND(0,2)</f>
        <v>0</v>
      </c>
      <c r="C60" s="25">
        <f>ROUND(SUM('[15]Ex Post Gross TD Calc'!$AN573:$AR573),2)</f>
        <v>2872.39</v>
      </c>
      <c r="D60" s="25">
        <f>ROUND(SUM('[15]NTG TD Calc'!$AN438:$AR438),2)</f>
        <v>-0.01</v>
      </c>
      <c r="E60" s="327">
        <f>ROUND(SUM('[15]EO TD Carrying Costs'!$AJ57:$AP57),2)</f>
        <v>939.03</v>
      </c>
      <c r="F60" s="219">
        <f t="shared" si="29"/>
        <v>3811.41</v>
      </c>
      <c r="G60" s="219">
        <f t="shared" si="30"/>
        <v>2223.3200000000002</v>
      </c>
      <c r="H60" s="39"/>
    </row>
    <row r="61" spans="1:22" x14ac:dyDescent="0.35">
      <c r="A61" s="20" t="s">
        <v>106</v>
      </c>
      <c r="B61" s="25">
        <f>ROUND(0,2)</f>
        <v>0</v>
      </c>
      <c r="C61" s="25">
        <f>ROUND(SUM('[15]Ex Post Gross TD Calc'!$AN574:$AR574),2)</f>
        <v>1852.08</v>
      </c>
      <c r="D61" s="25">
        <f>ROUND(SUM('[15]NTG TD Calc'!$AN439:$AR439),2)</f>
        <v>0.01</v>
      </c>
      <c r="E61" s="327">
        <f>ROUND(SUM('[15]EO TD Carrying Costs'!$AJ58:$AP58),2)</f>
        <v>817.17</v>
      </c>
      <c r="F61" s="219">
        <f t="shared" si="29"/>
        <v>2669.2599999999998</v>
      </c>
      <c r="G61" s="219">
        <f t="shared" si="30"/>
        <v>1557.07</v>
      </c>
      <c r="H61" s="39"/>
    </row>
    <row r="62" spans="1:22" x14ac:dyDescent="0.35">
      <c r="A62" s="20" t="s">
        <v>107</v>
      </c>
      <c r="B62" s="218">
        <f>ROUND(0,2)</f>
        <v>0</v>
      </c>
      <c r="C62" s="25">
        <f>ROUND(SUM('[15]Ex Post Gross TD Calc'!$AN575:$AR575),2)</f>
        <v>71.94</v>
      </c>
      <c r="D62" s="25">
        <f>ROUND(SUM('[15]NTG TD Calc'!$AN440:$AR440),2)</f>
        <v>0</v>
      </c>
      <c r="E62" s="327">
        <f>ROUND(SUM('[15]EO TD Carrying Costs'!$AJ59:$AP59),2)</f>
        <v>101.89</v>
      </c>
      <c r="F62" s="219">
        <f t="shared" si="29"/>
        <v>173.82999999999998</v>
      </c>
      <c r="G62" s="219">
        <f t="shared" si="30"/>
        <v>101.4</v>
      </c>
      <c r="H62" s="39"/>
    </row>
    <row r="63" spans="1:22" x14ac:dyDescent="0.35">
      <c r="A63" s="30" t="s">
        <v>109</v>
      </c>
      <c r="B63" s="219">
        <f>SUM(B59:B62)</f>
        <v>0</v>
      </c>
      <c r="C63" s="219">
        <f>SUM(C59:C62)</f>
        <v>6012.1399999999994</v>
      </c>
      <c r="D63" s="219">
        <f t="shared" ref="D63:G63" si="31">SUM(D59:D62)</f>
        <v>0.01</v>
      </c>
      <c r="E63" s="325">
        <f t="shared" si="31"/>
        <v>2260.19</v>
      </c>
      <c r="F63" s="219">
        <f t="shared" si="31"/>
        <v>8272.34</v>
      </c>
      <c r="G63" s="219">
        <f t="shared" si="31"/>
        <v>4825.53</v>
      </c>
      <c r="H63" s="39"/>
    </row>
    <row r="64" spans="1:22" x14ac:dyDescent="0.35">
      <c r="E64" s="326"/>
    </row>
    <row r="65" spans="1:22" x14ac:dyDescent="0.35">
      <c r="E65" s="326"/>
    </row>
    <row r="66" spans="1:22" x14ac:dyDescent="0.35">
      <c r="A66" s="246" t="s">
        <v>179</v>
      </c>
      <c r="E66" s="326"/>
    </row>
    <row r="67" spans="1:22" x14ac:dyDescent="0.35">
      <c r="A67" s="20" t="s">
        <v>24</v>
      </c>
      <c r="B67" s="25">
        <f>ROUND('[16]EO Matrix @Meter'!$AL$20,2)</f>
        <v>1385047.19</v>
      </c>
      <c r="C67" s="25">
        <f>ROUND(SUM('[17]Ex Post Gross TD Calc'!$Q$571:$AN$571),2)</f>
        <v>-356522.43</v>
      </c>
      <c r="D67" s="25">
        <f>ROUND(SUM('[17]NTG TD Calc'!$Q$436:$AN$436),2)</f>
        <v>-293909.08</v>
      </c>
      <c r="E67" s="327">
        <f>ROUND(SUM('[17]EO TD Carrying Costs'!$O$55:$AL$55),2)</f>
        <v>-55727.9</v>
      </c>
      <c r="F67" s="219">
        <f>SUM(B67:E67)</f>
        <v>678887.77999999991</v>
      </c>
      <c r="G67" s="219">
        <f>ROUND(F67/12*1,2)</f>
        <v>56573.98</v>
      </c>
      <c r="L67" s="186"/>
      <c r="M67" s="303"/>
      <c r="N67" s="303"/>
      <c r="O67" s="303"/>
      <c r="P67" s="303"/>
      <c r="Q67" s="303"/>
      <c r="R67" s="4"/>
      <c r="S67" s="4"/>
      <c r="T67" s="4"/>
      <c r="U67" s="4"/>
      <c r="V67" s="4"/>
    </row>
    <row r="68" spans="1:22" x14ac:dyDescent="0.35">
      <c r="A68" s="20" t="s">
        <v>25</v>
      </c>
      <c r="B68" s="218">
        <f>SUM(B71:B74)</f>
        <v>839588.63</v>
      </c>
      <c r="C68" s="218">
        <f>SUM(C71:C74)</f>
        <v>65049.640000000007</v>
      </c>
      <c r="D68" s="218">
        <f t="shared" ref="D68:E68" si="32">SUM(D71:D74)</f>
        <v>-145276.81</v>
      </c>
      <c r="E68" s="328">
        <f t="shared" si="32"/>
        <v>-4013.3000000000006</v>
      </c>
      <c r="F68" s="219">
        <f>SUM(B68:E68)</f>
        <v>755348.15999999992</v>
      </c>
      <c r="G68" s="219">
        <f>ROUND(F68/12*1,2)</f>
        <v>62945.68</v>
      </c>
      <c r="L68" s="186"/>
      <c r="R68" s="4"/>
      <c r="S68" s="4"/>
      <c r="T68" s="4"/>
      <c r="U68" s="4"/>
      <c r="V68" s="4"/>
    </row>
    <row r="69" spans="1:22" x14ac:dyDescent="0.35">
      <c r="A69" s="20" t="s">
        <v>5</v>
      </c>
      <c r="B69" s="219">
        <f t="shared" ref="B69:G69" si="33">SUM(B67:B68)</f>
        <v>2224635.8199999998</v>
      </c>
      <c r="C69" s="219">
        <f t="shared" si="33"/>
        <v>-291472.78999999998</v>
      </c>
      <c r="D69" s="219">
        <f t="shared" si="33"/>
        <v>-439185.89</v>
      </c>
      <c r="E69" s="325">
        <f t="shared" si="33"/>
        <v>-59741.200000000004</v>
      </c>
      <c r="F69" s="219">
        <f t="shared" si="33"/>
        <v>1434235.94</v>
      </c>
      <c r="G69" s="219">
        <f t="shared" si="33"/>
        <v>119519.66</v>
      </c>
      <c r="L69" s="186"/>
      <c r="R69" s="4"/>
      <c r="S69" s="4"/>
      <c r="T69" s="4"/>
      <c r="U69" s="4"/>
      <c r="V69" s="4"/>
    </row>
    <row r="70" spans="1:22" x14ac:dyDescent="0.35">
      <c r="B70" s="216"/>
      <c r="C70" s="216"/>
      <c r="D70" s="217"/>
      <c r="E70" s="326"/>
      <c r="L70" s="186"/>
    </row>
    <row r="71" spans="1:22" x14ac:dyDescent="0.35">
      <c r="A71" s="20" t="s">
        <v>104</v>
      </c>
      <c r="B71" s="25">
        <f>ROUND('[16]EO Matrix @Meter'!$AP$20,2)</f>
        <v>76053.37</v>
      </c>
      <c r="C71" s="25">
        <f>ROUND(SUM('[17]Ex Post Gross TD Calc'!$Q572:$AN572),2)</f>
        <v>11349.51</v>
      </c>
      <c r="D71" s="25">
        <f>ROUND(SUM('[17]NTG TD Calc'!$Q437:$AN437),2)</f>
        <v>-29089.62</v>
      </c>
      <c r="E71" s="328">
        <f>ROUND(SUM('[17]EO TD Carrying Costs'!$O56:$AL56),2)</f>
        <v>-1558.66</v>
      </c>
      <c r="F71" s="219">
        <f t="shared" ref="F71:F74" si="34">SUM(B71:E71)</f>
        <v>56754.599999999991</v>
      </c>
      <c r="G71" s="219">
        <f t="shared" ref="G71:G74" si="35">ROUND(F71/12*1,2)</f>
        <v>4729.55</v>
      </c>
      <c r="L71" s="186"/>
      <c r="M71" s="303"/>
      <c r="N71" s="303"/>
      <c r="O71" s="303"/>
      <c r="P71" s="303"/>
      <c r="Q71" s="303"/>
      <c r="R71" s="4"/>
      <c r="S71" s="4"/>
      <c r="T71" s="4"/>
      <c r="U71" s="4"/>
      <c r="V71" s="4"/>
    </row>
    <row r="72" spans="1:22" x14ac:dyDescent="0.35">
      <c r="A72" s="20" t="s">
        <v>105</v>
      </c>
      <c r="B72" s="218">
        <f>ROUND('[16]EO Matrix @Meter'!$AQ$20,2)</f>
        <v>187581.29</v>
      </c>
      <c r="C72" s="218">
        <f>ROUND(SUM('[17]Ex Post Gross TD Calc'!$Q573:$AN573),2)</f>
        <v>114.28</v>
      </c>
      <c r="D72" s="218">
        <f>ROUND(SUM('[17]NTG TD Calc'!$Q438:$AN438),2)</f>
        <v>-55888.89</v>
      </c>
      <c r="E72" s="328">
        <f>ROUND(SUM('[17]EO TD Carrying Costs'!$O57:$AL57),2)</f>
        <v>-2411.94</v>
      </c>
      <c r="F72" s="219">
        <f t="shared" si="34"/>
        <v>129394.73999999999</v>
      </c>
      <c r="G72" s="219">
        <f t="shared" si="35"/>
        <v>10782.9</v>
      </c>
      <c r="L72" s="186"/>
      <c r="M72" s="303"/>
      <c r="N72" s="303"/>
      <c r="O72" s="303"/>
      <c r="P72" s="303"/>
      <c r="Q72" s="303"/>
      <c r="R72" s="4"/>
      <c r="S72" s="4"/>
      <c r="T72" s="4"/>
      <c r="U72" s="4"/>
      <c r="V72" s="4"/>
    </row>
    <row r="73" spans="1:22" x14ac:dyDescent="0.35">
      <c r="A73" s="20" t="s">
        <v>106</v>
      </c>
      <c r="B73" s="25">
        <f>ROUND('[16]EO Matrix @Meter'!$AR$20,2)</f>
        <v>528596.72</v>
      </c>
      <c r="C73" s="25">
        <f>ROUND(SUM('[17]Ex Post Gross TD Calc'!$Q574:$AN574),2)</f>
        <v>48292.800000000003</v>
      </c>
      <c r="D73" s="25">
        <f>ROUND(SUM('[17]NTG TD Calc'!$Q439:$AN439),2)</f>
        <v>-59418.79</v>
      </c>
      <c r="E73" s="327">
        <f>ROUND(SUM('[17]EO TD Carrying Costs'!$O58:$AL58),2)</f>
        <v>-520.14</v>
      </c>
      <c r="F73" s="219">
        <f t="shared" si="34"/>
        <v>516950.59</v>
      </c>
      <c r="G73" s="219">
        <f t="shared" si="35"/>
        <v>43079.22</v>
      </c>
      <c r="L73" s="186"/>
      <c r="M73" s="303"/>
      <c r="N73" s="303"/>
      <c r="O73" s="303"/>
      <c r="P73" s="303"/>
      <c r="Q73" s="303"/>
      <c r="R73" s="4"/>
      <c r="S73" s="4"/>
      <c r="T73" s="4"/>
      <c r="U73" s="4"/>
      <c r="V73" s="4"/>
    </row>
    <row r="74" spans="1:22" x14ac:dyDescent="0.35">
      <c r="A74" s="20" t="s">
        <v>107</v>
      </c>
      <c r="B74" s="218">
        <f>ROUND('[16]EO Matrix @Meter'!$AS$20,2)</f>
        <v>47357.25</v>
      </c>
      <c r="C74" s="218">
        <f>ROUND(SUM('[17]Ex Post Gross TD Calc'!$Q575:$AN575),2)</f>
        <v>5293.05</v>
      </c>
      <c r="D74" s="218">
        <f>ROUND(SUM('[17]NTG TD Calc'!$Q440:$AN440),2)</f>
        <v>-879.51</v>
      </c>
      <c r="E74" s="328">
        <f>ROUND(SUM('[17]EO TD Carrying Costs'!$O59:$AL59),2)</f>
        <v>477.44</v>
      </c>
      <c r="F74" s="219">
        <f t="shared" si="34"/>
        <v>52248.23</v>
      </c>
      <c r="G74" s="219">
        <f t="shared" si="35"/>
        <v>4354.0200000000004</v>
      </c>
      <c r="L74" s="186"/>
      <c r="M74" s="303"/>
      <c r="N74" s="303"/>
      <c r="O74" s="303"/>
      <c r="P74" s="303"/>
      <c r="Q74" s="303"/>
      <c r="R74" s="4"/>
      <c r="S74" s="4"/>
      <c r="T74" s="4"/>
      <c r="U74" s="4"/>
      <c r="V74" s="4"/>
    </row>
    <row r="75" spans="1:22" x14ac:dyDescent="0.35">
      <c r="A75" s="30" t="s">
        <v>109</v>
      </c>
      <c r="B75" s="219">
        <f>SUM(B71:B74)</f>
        <v>839588.63</v>
      </c>
      <c r="C75" s="219">
        <f>SUM(C71:C74)</f>
        <v>65049.640000000007</v>
      </c>
      <c r="D75" s="219">
        <f t="shared" ref="D75:G75" si="36">SUM(D71:D74)</f>
        <v>-145276.81</v>
      </c>
      <c r="E75" s="325">
        <f t="shared" si="36"/>
        <v>-4013.3000000000006</v>
      </c>
      <c r="F75" s="219">
        <f t="shared" si="36"/>
        <v>755348.15999999992</v>
      </c>
      <c r="G75" s="219">
        <f t="shared" si="36"/>
        <v>62945.69</v>
      </c>
      <c r="L75" s="186"/>
      <c r="M75" s="186"/>
      <c r="N75" s="186"/>
      <c r="O75" s="186"/>
      <c r="P75" s="186"/>
      <c r="R75" s="4"/>
      <c r="S75" s="4"/>
      <c r="T75" s="4"/>
      <c r="U75" s="4"/>
      <c r="V75" s="4"/>
    </row>
    <row r="76" spans="1:22" x14ac:dyDescent="0.35">
      <c r="E76" s="326"/>
    </row>
    <row r="77" spans="1:22" x14ac:dyDescent="0.35">
      <c r="E77" s="326"/>
    </row>
    <row r="78" spans="1:22" x14ac:dyDescent="0.35">
      <c r="A78" s="246" t="s">
        <v>231</v>
      </c>
      <c r="E78" s="326"/>
    </row>
    <row r="79" spans="1:22" x14ac:dyDescent="0.35">
      <c r="A79" s="20" t="s">
        <v>24</v>
      </c>
      <c r="B79" s="25">
        <f>ROUND('[18]EO Matrix @Meter'!$AL$22,2)</f>
        <v>1307790.1000000001</v>
      </c>
      <c r="C79" s="25">
        <f>ROUND(SUM('[19]Ex Post Gross TD Calc'!$AC$571:$AX$571),2)</f>
        <v>-249725.12</v>
      </c>
      <c r="D79" s="25">
        <f>ROUND(SUM('[19]NTG TD Calc'!$AC$436:$AX$436),2)</f>
        <v>-66457.240000000005</v>
      </c>
      <c r="E79" s="327">
        <f>ROUND(SUM('[19]EO TD Carrying Costs'!$AA$55:$AV$55),2)</f>
        <v>-15781.72</v>
      </c>
      <c r="F79" s="219">
        <f>SUM(B79:E79)</f>
        <v>975826.02</v>
      </c>
      <c r="G79" s="219">
        <f>ROUND(F79/12*7,2)</f>
        <v>569231.85</v>
      </c>
    </row>
    <row r="80" spans="1:22" x14ac:dyDescent="0.35">
      <c r="A80" s="20" t="s">
        <v>25</v>
      </c>
      <c r="B80" s="218">
        <f>SUM(B83:B86)</f>
        <v>877237.60000000009</v>
      </c>
      <c r="C80" s="218">
        <f>SUM(C83:C86)</f>
        <v>-36346.57</v>
      </c>
      <c r="D80" s="218">
        <f t="shared" ref="D80:E80" si="37">SUM(D83:D86)</f>
        <v>86784.39</v>
      </c>
      <c r="E80" s="328">
        <f t="shared" si="37"/>
        <v>1663.22</v>
      </c>
      <c r="F80" s="219">
        <f>SUM(B80:E80)</f>
        <v>929338.64000000013</v>
      </c>
      <c r="G80" s="219">
        <f>ROUND(F80/12*7,2)</f>
        <v>542114.21</v>
      </c>
    </row>
    <row r="81" spans="1:7" x14ac:dyDescent="0.35">
      <c r="A81" s="20" t="s">
        <v>5</v>
      </c>
      <c r="B81" s="219">
        <f t="shared" ref="B81:G81" si="38">SUM(B79:B80)</f>
        <v>2185027.7000000002</v>
      </c>
      <c r="C81" s="219">
        <f t="shared" si="38"/>
        <v>-286071.69</v>
      </c>
      <c r="D81" s="219">
        <f t="shared" si="38"/>
        <v>20327.149999999994</v>
      </c>
      <c r="E81" s="325">
        <f t="shared" si="38"/>
        <v>-14118.5</v>
      </c>
      <c r="F81" s="219">
        <f t="shared" si="38"/>
        <v>1905164.6600000001</v>
      </c>
      <c r="G81" s="219">
        <f t="shared" si="38"/>
        <v>1111346.06</v>
      </c>
    </row>
    <row r="82" spans="1:7" x14ac:dyDescent="0.35">
      <c r="B82" s="216"/>
      <c r="C82" s="216"/>
      <c r="D82" s="217"/>
      <c r="E82" s="326"/>
    </row>
    <row r="83" spans="1:7" x14ac:dyDescent="0.35">
      <c r="A83" s="20" t="s">
        <v>104</v>
      </c>
      <c r="B83" s="25">
        <f>ROUND('[18]EO Matrix @Meter'!$AP$22,2)</f>
        <v>151360.23000000001</v>
      </c>
      <c r="C83" s="25">
        <f>ROUND(SUM('[19]Ex Post Gross TD Calc'!$AC$572:$AX$572),2)</f>
        <v>-7300.6</v>
      </c>
      <c r="D83" s="25">
        <f>ROUND(SUM('[19]NTG TD Calc'!$AC$437:$AX$437),2)</f>
        <v>13298.81</v>
      </c>
      <c r="E83" s="327">
        <f>ROUND(SUM('[19]EO TD Carrying Costs'!$AA$56:$AV$56),2)</f>
        <v>116.56</v>
      </c>
      <c r="F83" s="219">
        <f t="shared" ref="F83:F86" si="39">SUM(B83:E83)</f>
        <v>157475</v>
      </c>
      <c r="G83" s="219">
        <f t="shared" ref="G83:G86" si="40">ROUND(F83/12*7,2)</f>
        <v>91860.42</v>
      </c>
    </row>
    <row r="84" spans="1:7" x14ac:dyDescent="0.35">
      <c r="A84" s="20" t="s">
        <v>105</v>
      </c>
      <c r="B84" s="25">
        <f>ROUND('[18]EO Matrix @Meter'!$AQ$22,2)</f>
        <v>256696.36</v>
      </c>
      <c r="C84" s="25">
        <f>ROUND(SUM('[19]Ex Post Gross TD Calc'!$AC$573:$AX$573),2)</f>
        <v>-27207.21</v>
      </c>
      <c r="D84" s="25">
        <f>ROUND(SUM('[19]NTG TD Calc'!$AC$438:$AX$438),2)</f>
        <v>45480.480000000003</v>
      </c>
      <c r="E84" s="327">
        <f>ROUND(SUM('[19]EO TD Carrying Costs'!$AA$57:$AV$57),2)</f>
        <v>373.04</v>
      </c>
      <c r="F84" s="219">
        <f t="shared" si="39"/>
        <v>275342.67</v>
      </c>
      <c r="G84" s="219">
        <f t="shared" si="40"/>
        <v>160616.56</v>
      </c>
    </row>
    <row r="85" spans="1:7" x14ac:dyDescent="0.35">
      <c r="A85" s="20" t="s">
        <v>106</v>
      </c>
      <c r="B85" s="25">
        <f>ROUND('[18]EO Matrix @Meter'!$AR$22,2)</f>
        <v>391442.94</v>
      </c>
      <c r="C85" s="25">
        <f>ROUND(SUM('[19]Ex Post Gross TD Calc'!$AC$574:$AX$574),2)</f>
        <v>-4347.97</v>
      </c>
      <c r="D85" s="25">
        <f>ROUND(SUM('[19]NTG TD Calc'!$AC$439:$AX$439),2)</f>
        <v>27878.58</v>
      </c>
      <c r="E85" s="327">
        <f>ROUND(SUM('[19]EO TD Carrying Costs'!$AA$58:$AV$58),2)</f>
        <v>941.4</v>
      </c>
      <c r="F85" s="219">
        <f t="shared" si="39"/>
        <v>415914.95000000007</v>
      </c>
      <c r="G85" s="219">
        <f t="shared" si="40"/>
        <v>242617.05</v>
      </c>
    </row>
    <row r="86" spans="1:7" x14ac:dyDescent="0.35">
      <c r="A86" s="20" t="s">
        <v>107</v>
      </c>
      <c r="B86" s="25">
        <f>ROUND('[18]EO Matrix @Meter'!$AS$22,2)</f>
        <v>77738.070000000007</v>
      </c>
      <c r="C86" s="25">
        <f>ROUND(SUM('[19]Ex Post Gross TD Calc'!$AC$575:$AX$575),2)</f>
        <v>2509.21</v>
      </c>
      <c r="D86" s="25">
        <f>ROUND(SUM('[19]NTG TD Calc'!$AC$440:$AX$440),2)</f>
        <v>126.52</v>
      </c>
      <c r="E86" s="327">
        <f>ROUND(SUM('[19]EO TD Carrying Costs'!$AA$59:$AV$59),2)</f>
        <v>232.22</v>
      </c>
      <c r="F86" s="219">
        <f t="shared" si="39"/>
        <v>80606.020000000019</v>
      </c>
      <c r="G86" s="219">
        <f t="shared" si="40"/>
        <v>47020.18</v>
      </c>
    </row>
    <row r="87" spans="1:7" x14ac:dyDescent="0.35">
      <c r="A87" s="30" t="s">
        <v>109</v>
      </c>
      <c r="B87" s="219">
        <f>SUM(B83:B86)</f>
        <v>877237.60000000009</v>
      </c>
      <c r="C87" s="219">
        <f>SUM(C83:C86)</f>
        <v>-36346.57</v>
      </c>
      <c r="D87" s="219">
        <f t="shared" ref="D87:G87" si="41">SUM(D83:D86)</f>
        <v>86784.39</v>
      </c>
      <c r="E87" s="325">
        <f t="shared" si="41"/>
        <v>1663.22</v>
      </c>
      <c r="F87" s="219">
        <f t="shared" si="41"/>
        <v>929338.64000000013</v>
      </c>
      <c r="G87" s="219">
        <f t="shared" si="41"/>
        <v>542114.21</v>
      </c>
    </row>
    <row r="88" spans="1:7" x14ac:dyDescent="0.35">
      <c r="E88" s="326"/>
    </row>
    <row r="89" spans="1:7" x14ac:dyDescent="0.35">
      <c r="E89" s="326"/>
    </row>
    <row r="90" spans="1:7" x14ac:dyDescent="0.35">
      <c r="A90" s="246" t="s">
        <v>276</v>
      </c>
      <c r="E90" s="326"/>
    </row>
    <row r="91" spans="1:7" x14ac:dyDescent="0.35">
      <c r="A91" s="20" t="s">
        <v>24</v>
      </c>
      <c r="B91" s="25">
        <v>0</v>
      </c>
      <c r="C91" s="25">
        <f>ROUND(SUM('[19]Ex Post Gross TD Calc'!$AY$571:$BD$571),2)</f>
        <v>-60452.22</v>
      </c>
      <c r="D91" s="25">
        <f>ROUND(SUM('[19]NTG TD Calc'!$AY$436:$BD$436),2)</f>
        <v>-7718.3</v>
      </c>
      <c r="E91" s="327">
        <f>ROUND(SUM('[19]EO TD Carrying Costs'!$AW$55:$BB$55),2)</f>
        <v>-10968.17</v>
      </c>
      <c r="F91" s="219">
        <f>SUM(B91:E91)</f>
        <v>-79138.69</v>
      </c>
      <c r="G91" s="219">
        <f>ROUND(F91/12*11,2)</f>
        <v>-72543.8</v>
      </c>
    </row>
    <row r="92" spans="1:7" x14ac:dyDescent="0.35">
      <c r="A92" s="20" t="s">
        <v>25</v>
      </c>
      <c r="B92" s="218">
        <f>B99</f>
        <v>0</v>
      </c>
      <c r="C92" s="218">
        <f t="shared" ref="C92:E92" si="42">C99</f>
        <v>-19852.230000000003</v>
      </c>
      <c r="D92" s="218">
        <f t="shared" si="42"/>
        <v>15591.88</v>
      </c>
      <c r="E92" s="328">
        <f t="shared" si="42"/>
        <v>1655.81</v>
      </c>
      <c r="F92" s="219">
        <f>SUM(B92:E92)</f>
        <v>-2604.5400000000041</v>
      </c>
      <c r="G92" s="219">
        <f>ROUND(F92/12*11,2)</f>
        <v>-2387.5</v>
      </c>
    </row>
    <row r="93" spans="1:7" x14ac:dyDescent="0.35">
      <c r="A93" s="20" t="s">
        <v>5</v>
      </c>
      <c r="B93" s="219">
        <f t="shared" ref="B93:G93" si="43">SUM(B91:B92)</f>
        <v>0</v>
      </c>
      <c r="C93" s="219">
        <f t="shared" si="43"/>
        <v>-80304.450000000012</v>
      </c>
      <c r="D93" s="219">
        <f t="shared" si="43"/>
        <v>7873.579999999999</v>
      </c>
      <c r="E93" s="325">
        <f t="shared" si="43"/>
        <v>-9312.36</v>
      </c>
      <c r="F93" s="219">
        <f t="shared" si="43"/>
        <v>-81743.23000000001</v>
      </c>
      <c r="G93" s="219">
        <f t="shared" si="43"/>
        <v>-74931.3</v>
      </c>
    </row>
    <row r="94" spans="1:7" x14ac:dyDescent="0.35">
      <c r="B94" s="216"/>
      <c r="C94" s="216"/>
      <c r="D94" s="217"/>
      <c r="E94" s="326"/>
    </row>
    <row r="95" spans="1:7" x14ac:dyDescent="0.35">
      <c r="A95" s="20" t="s">
        <v>104</v>
      </c>
      <c r="B95" s="25">
        <v>0</v>
      </c>
      <c r="C95" s="25">
        <f>ROUND(SUM('[19]Ex Post Gross TD Calc'!$AY572:$BD572),2)</f>
        <v>-1523.11</v>
      </c>
      <c r="D95" s="25">
        <f>ROUND(SUM('[19]NTG TD Calc'!$AY437:$BD437),2)</f>
        <v>2543.67</v>
      </c>
      <c r="E95" s="327">
        <f>ROUND(SUM('[19]EO TD Carrying Costs'!$AW56:$BB56),2)</f>
        <v>224.89</v>
      </c>
      <c r="F95" s="219">
        <f t="shared" ref="F95:F98" si="44">SUM(B95:E95)</f>
        <v>1245.4500000000003</v>
      </c>
      <c r="G95" s="219">
        <f>ROUND(F95/12*11,2)</f>
        <v>1141.6600000000001</v>
      </c>
    </row>
    <row r="96" spans="1:7" x14ac:dyDescent="0.35">
      <c r="A96" s="20" t="s">
        <v>105</v>
      </c>
      <c r="B96" s="25">
        <v>0</v>
      </c>
      <c r="C96" s="25">
        <f>ROUND(SUM('[19]Ex Post Gross TD Calc'!$AY573:$BD573),2)</f>
        <v>-13856.2</v>
      </c>
      <c r="D96" s="25">
        <f>ROUND(SUM('[19]NTG TD Calc'!$AY438:$BD438),2)</f>
        <v>8106.16</v>
      </c>
      <c r="E96" s="327">
        <f>ROUND(SUM('[19]EO TD Carrying Costs'!$AW57:$BB57),2)</f>
        <v>557.03</v>
      </c>
      <c r="F96" s="219">
        <f t="shared" si="44"/>
        <v>-5193.0100000000011</v>
      </c>
      <c r="G96" s="219">
        <f>ROUND(F96/12*11,2)</f>
        <v>-4760.26</v>
      </c>
    </row>
    <row r="97" spans="1:17" x14ac:dyDescent="0.35">
      <c r="A97" s="20" t="s">
        <v>106</v>
      </c>
      <c r="B97" s="25">
        <v>0</v>
      </c>
      <c r="C97" s="25">
        <f>ROUND(SUM('[19]Ex Post Gross TD Calc'!$AY574:$BD574),2)</f>
        <v>-4765.22</v>
      </c>
      <c r="D97" s="25">
        <f>ROUND(SUM('[19]NTG TD Calc'!$AY439:$BD439),2)</f>
        <v>4928.63</v>
      </c>
      <c r="E97" s="327">
        <f>ROUND(SUM('[19]EO TD Carrying Costs'!$AW58:$BB58),2)</f>
        <v>784.12</v>
      </c>
      <c r="F97" s="219">
        <f t="shared" si="44"/>
        <v>947.52999999999986</v>
      </c>
      <c r="G97" s="219">
        <f>ROUND(F97/12*11,2)</f>
        <v>868.57</v>
      </c>
    </row>
    <row r="98" spans="1:17" x14ac:dyDescent="0.35">
      <c r="A98" s="20" t="s">
        <v>107</v>
      </c>
      <c r="B98" s="25">
        <v>0</v>
      </c>
      <c r="C98" s="25">
        <f>ROUND(SUM('[19]Ex Post Gross TD Calc'!$AY575:$BD575),2)</f>
        <v>292.3</v>
      </c>
      <c r="D98" s="25">
        <f>ROUND(SUM('[19]NTG TD Calc'!$AY440:$BD440),2)</f>
        <v>13.42</v>
      </c>
      <c r="E98" s="327">
        <f>ROUND(SUM('[19]EO TD Carrying Costs'!$AW59:$BB59),2)</f>
        <v>89.77</v>
      </c>
      <c r="F98" s="219">
        <f t="shared" si="44"/>
        <v>395.49</v>
      </c>
      <c r="G98" s="219">
        <f>ROUND(F98/12*11,2)</f>
        <v>362.53</v>
      </c>
    </row>
    <row r="99" spans="1:17" x14ac:dyDescent="0.35">
      <c r="A99" s="30" t="s">
        <v>109</v>
      </c>
      <c r="B99" s="219">
        <f>SUM(B95:B98)</f>
        <v>0</v>
      </c>
      <c r="C99" s="219">
        <f>SUM(C95:C98)</f>
        <v>-19852.230000000003</v>
      </c>
      <c r="D99" s="219">
        <f t="shared" ref="D99:G99" si="45">SUM(D95:D98)</f>
        <v>15591.88</v>
      </c>
      <c r="E99" s="325">
        <f t="shared" si="45"/>
        <v>1655.81</v>
      </c>
      <c r="F99" s="219">
        <f t="shared" si="45"/>
        <v>-2604.5400000000009</v>
      </c>
      <c r="G99" s="219">
        <f t="shared" si="45"/>
        <v>-2387.5</v>
      </c>
    </row>
    <row r="100" spans="1:17" x14ac:dyDescent="0.35">
      <c r="E100" s="326"/>
    </row>
    <row r="101" spans="1:17" x14ac:dyDescent="0.35">
      <c r="E101" s="326"/>
    </row>
    <row r="102" spans="1:17" x14ac:dyDescent="0.35">
      <c r="A102" s="246" t="s">
        <v>278</v>
      </c>
      <c r="E102" s="326"/>
    </row>
    <row r="103" spans="1:17" x14ac:dyDescent="0.35">
      <c r="A103" s="20" t="s">
        <v>24</v>
      </c>
      <c r="B103" s="25">
        <f>'[20]PY4 2023 EO'!$D$116</f>
        <v>1237690.19</v>
      </c>
      <c r="C103" s="25">
        <v>0</v>
      </c>
      <c r="D103" s="25">
        <v>0</v>
      </c>
      <c r="E103" s="327">
        <v>0</v>
      </c>
      <c r="F103" s="219">
        <f>SUM(B103:E103)</f>
        <v>1237690.19</v>
      </c>
      <c r="G103" s="219">
        <f>ROUND(F103/12*11,2)</f>
        <v>1134549.3400000001</v>
      </c>
    </row>
    <row r="104" spans="1:17" x14ac:dyDescent="0.35">
      <c r="A104" s="20" t="s">
        <v>25</v>
      </c>
      <c r="B104" s="218">
        <f>B111</f>
        <v>1064482.75</v>
      </c>
      <c r="C104" s="218">
        <f t="shared" ref="C104:E104" si="46">C111</f>
        <v>0</v>
      </c>
      <c r="D104" s="218">
        <f t="shared" si="46"/>
        <v>0</v>
      </c>
      <c r="E104" s="328">
        <f t="shared" si="46"/>
        <v>0</v>
      </c>
      <c r="F104" s="219">
        <f>SUM(B104:E104)</f>
        <v>1064482.75</v>
      </c>
      <c r="G104" s="219">
        <f>ROUND(F104/12*11,2)</f>
        <v>975775.85</v>
      </c>
    </row>
    <row r="105" spans="1:17" x14ac:dyDescent="0.35">
      <c r="A105" s="20" t="s">
        <v>5</v>
      </c>
      <c r="B105" s="219">
        <f t="shared" ref="B105:G105" si="47">SUM(B103:B104)</f>
        <v>2302172.94</v>
      </c>
      <c r="C105" s="219">
        <f t="shared" si="47"/>
        <v>0</v>
      </c>
      <c r="D105" s="219">
        <f t="shared" si="47"/>
        <v>0</v>
      </c>
      <c r="E105" s="325">
        <f t="shared" si="47"/>
        <v>0</v>
      </c>
      <c r="F105" s="219">
        <f t="shared" si="47"/>
        <v>2302172.94</v>
      </c>
      <c r="G105" s="219">
        <f t="shared" si="47"/>
        <v>2110325.19</v>
      </c>
    </row>
    <row r="106" spans="1:17" x14ac:dyDescent="0.35">
      <c r="B106" s="216"/>
      <c r="C106" s="216"/>
      <c r="D106" s="217"/>
      <c r="E106" s="326"/>
    </row>
    <row r="107" spans="1:17" x14ac:dyDescent="0.35">
      <c r="A107" s="20" t="s">
        <v>104</v>
      </c>
      <c r="B107" s="25">
        <f>'[20]PY4 2023 EO'!$D117</f>
        <v>150961.88</v>
      </c>
      <c r="C107" s="25">
        <v>0</v>
      </c>
      <c r="D107" s="25">
        <v>0</v>
      </c>
      <c r="E107" s="327">
        <v>0</v>
      </c>
      <c r="F107" s="219">
        <f t="shared" ref="F107:F110" si="48">SUM(B107:E107)</f>
        <v>150961.88</v>
      </c>
      <c r="G107" s="219">
        <f t="shared" ref="G107:G110" si="49">ROUND(F107/12*11,2)</f>
        <v>138381.72</v>
      </c>
    </row>
    <row r="108" spans="1:17" x14ac:dyDescent="0.35">
      <c r="A108" s="20" t="s">
        <v>105</v>
      </c>
      <c r="B108" s="25">
        <f>'[20]PY4 2023 EO'!$D118</f>
        <v>302870.92000000004</v>
      </c>
      <c r="C108" s="25">
        <v>0</v>
      </c>
      <c r="D108" s="25">
        <v>0</v>
      </c>
      <c r="E108" s="327">
        <v>0</v>
      </c>
      <c r="F108" s="219">
        <f t="shared" si="48"/>
        <v>302870.92000000004</v>
      </c>
      <c r="G108" s="219">
        <f t="shared" si="49"/>
        <v>277631.68</v>
      </c>
    </row>
    <row r="109" spans="1:17" x14ac:dyDescent="0.35">
      <c r="A109" s="20" t="s">
        <v>106</v>
      </c>
      <c r="B109" s="25">
        <f>'[20]PY4 2023 EO'!$D119</f>
        <v>481870.85</v>
      </c>
      <c r="C109" s="25">
        <v>0</v>
      </c>
      <c r="D109" s="25">
        <v>0</v>
      </c>
      <c r="E109" s="327">
        <v>0</v>
      </c>
      <c r="F109" s="219">
        <f t="shared" si="48"/>
        <v>481870.85</v>
      </c>
      <c r="G109" s="219">
        <f t="shared" si="49"/>
        <v>441714.95</v>
      </c>
    </row>
    <row r="110" spans="1:17" x14ac:dyDescent="0.35">
      <c r="A110" s="20" t="s">
        <v>107</v>
      </c>
      <c r="B110" s="25">
        <f>'[20]PY4 2023 EO'!$D120</f>
        <v>128779.09999999999</v>
      </c>
      <c r="C110" s="25">
        <v>0</v>
      </c>
      <c r="D110" s="25">
        <v>0</v>
      </c>
      <c r="E110" s="327">
        <v>0</v>
      </c>
      <c r="F110" s="219">
        <f t="shared" si="48"/>
        <v>128779.09999999999</v>
      </c>
      <c r="G110" s="219">
        <f t="shared" si="49"/>
        <v>118047.51</v>
      </c>
    </row>
    <row r="111" spans="1:17" x14ac:dyDescent="0.35">
      <c r="A111" s="30" t="s">
        <v>109</v>
      </c>
      <c r="B111" s="219">
        <f>SUM(B107:B110)</f>
        <v>1064482.75</v>
      </c>
      <c r="C111" s="219">
        <f>SUM(C107:C110)</f>
        <v>0</v>
      </c>
      <c r="D111" s="219">
        <f t="shared" ref="D111:G111" si="50">SUM(D107:D110)</f>
        <v>0</v>
      </c>
      <c r="E111" s="325">
        <f t="shared" si="50"/>
        <v>0</v>
      </c>
      <c r="F111" s="219">
        <f t="shared" si="50"/>
        <v>1064482.75</v>
      </c>
      <c r="G111" s="219">
        <f t="shared" si="50"/>
        <v>975775.8600000001</v>
      </c>
    </row>
    <row r="112" spans="1:17" x14ac:dyDescent="0.35">
      <c r="E112" s="4"/>
      <c r="J112" s="303"/>
      <c r="K112" s="303"/>
      <c r="L112" s="303"/>
      <c r="M112" s="303"/>
      <c r="N112" s="303"/>
      <c r="O112" s="303"/>
      <c r="P112" s="303"/>
      <c r="Q112" s="303"/>
    </row>
    <row r="114" spans="1:11" x14ac:dyDescent="0.35">
      <c r="A114" s="53" t="s">
        <v>11</v>
      </c>
    </row>
    <row r="115" spans="1:11" x14ac:dyDescent="0.35">
      <c r="A115" s="63" t="s">
        <v>277</v>
      </c>
      <c r="B115" s="39"/>
      <c r="C115" s="39"/>
      <c r="D115" s="39"/>
      <c r="E115" s="39"/>
      <c r="F115" s="39"/>
      <c r="G115" s="39"/>
    </row>
    <row r="116" spans="1:11" x14ac:dyDescent="0.35">
      <c r="A116" s="63" t="s">
        <v>232</v>
      </c>
      <c r="B116" s="39"/>
      <c r="C116" s="39"/>
      <c r="D116" s="39"/>
      <c r="E116" s="39"/>
      <c r="F116" s="39"/>
      <c r="G116" s="39"/>
    </row>
    <row r="117" spans="1:11" x14ac:dyDescent="0.35">
      <c r="A117" s="63" t="s">
        <v>233</v>
      </c>
      <c r="B117" s="39"/>
      <c r="C117" s="39"/>
      <c r="D117" s="39"/>
      <c r="E117" s="39"/>
      <c r="F117" s="39"/>
      <c r="G117" s="39"/>
    </row>
    <row r="118" spans="1:11" x14ac:dyDescent="0.35">
      <c r="A118" s="63" t="s">
        <v>234</v>
      </c>
      <c r="B118" s="39"/>
      <c r="C118" s="39"/>
      <c r="D118" s="39"/>
      <c r="E118" s="39"/>
      <c r="F118" s="39"/>
      <c r="G118" s="39"/>
    </row>
    <row r="119" spans="1:11" s="39" customFormat="1" x14ac:dyDescent="0.35">
      <c r="A119" s="63" t="s">
        <v>156</v>
      </c>
    </row>
    <row r="120" spans="1:11" ht="81.75" customHeight="1" x14ac:dyDescent="0.35">
      <c r="A120" s="343" t="s">
        <v>281</v>
      </c>
      <c r="B120" s="343"/>
      <c r="C120" s="343"/>
      <c r="D120" s="343"/>
      <c r="E120" s="343"/>
      <c r="F120" s="343"/>
      <c r="G120" s="343"/>
      <c r="H120" s="343"/>
      <c r="I120" s="343"/>
      <c r="J120" s="343"/>
      <c r="K120" s="343"/>
    </row>
  </sheetData>
  <mergeCells count="2">
    <mergeCell ref="B3:D3"/>
    <mergeCell ref="A120:K12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zoomScale="85" zoomScaleNormal="85" workbookViewId="0">
      <selection activeCell="E2" sqref="E2"/>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2.453125" style="46" hidden="1" customWidth="1" outlineLevel="1"/>
    <col min="5" max="5" width="15.453125" style="46" customWidth="1" collapsed="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customWidth="1" outlineLevel="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06/01/2024</v>
      </c>
      <c r="B1" s="3"/>
      <c r="C1" s="3"/>
      <c r="D1" s="3"/>
    </row>
    <row r="2" spans="1:35" x14ac:dyDescent="0.35">
      <c r="E2" s="3" t="s">
        <v>139</v>
      </c>
    </row>
    <row r="3" spans="1:35" ht="29" x14ac:dyDescent="0.35">
      <c r="E3" s="48" t="s">
        <v>45</v>
      </c>
      <c r="F3" s="70" t="s">
        <v>57</v>
      </c>
      <c r="G3" s="48" t="s">
        <v>3</v>
      </c>
      <c r="H3" s="70" t="s">
        <v>54</v>
      </c>
      <c r="I3" s="48" t="s">
        <v>10</v>
      </c>
      <c r="J3" s="48" t="s">
        <v>58</v>
      </c>
      <c r="S3" s="48"/>
    </row>
    <row r="4" spans="1:35" x14ac:dyDescent="0.35">
      <c r="A4" s="20" t="s">
        <v>24</v>
      </c>
      <c r="B4" s="20"/>
      <c r="C4" s="20"/>
      <c r="D4" s="20"/>
      <c r="E4" s="22">
        <f>SUM(C19:M19)</f>
        <v>-48015.933239999998</v>
      </c>
      <c r="F4" s="22">
        <f>SUM(C26:L26)</f>
        <v>-20966.13</v>
      </c>
      <c r="G4" s="22">
        <f>F4-E4</f>
        <v>27049.803239999997</v>
      </c>
      <c r="H4" s="22">
        <f>+B42</f>
        <v>-68693.669200000004</v>
      </c>
      <c r="I4" s="22">
        <f>SUM(C50:L50)</f>
        <v>-2232.08</v>
      </c>
      <c r="J4" s="25">
        <f>SUM(G4:I4)</f>
        <v>-43875.945960000012</v>
      </c>
      <c r="K4" s="47">
        <f>+J4-M42</f>
        <v>0</v>
      </c>
      <c r="N4" s="47"/>
    </row>
    <row r="5" spans="1:35" ht="15" thickBot="1" x14ac:dyDescent="0.4">
      <c r="A5" s="20" t="s">
        <v>25</v>
      </c>
      <c r="B5" s="20"/>
      <c r="C5" s="20"/>
      <c r="D5" s="20"/>
      <c r="E5" s="22">
        <f>SUM(C20:M23)</f>
        <v>34546.192670000004</v>
      </c>
      <c r="F5" s="22">
        <f>SUM(C27:L30)</f>
        <v>-5734.6699999999992</v>
      </c>
      <c r="G5" s="22">
        <f>F5-E5</f>
        <v>-40280.862670000002</v>
      </c>
      <c r="H5" s="22">
        <f>SUM(B43:B46)</f>
        <v>73780.847999999765</v>
      </c>
      <c r="I5" s="22">
        <f>SUM(C51:L54)</f>
        <v>1966.719999999998</v>
      </c>
      <c r="J5" s="25">
        <f>SUM(G5:I5)</f>
        <v>35466.705329999764</v>
      </c>
      <c r="K5" s="47">
        <f>+J5-SUM(M43:M46)</f>
        <v>0</v>
      </c>
      <c r="N5" s="47"/>
    </row>
    <row r="6" spans="1:35" ht="15.5" thickTop="1" thickBot="1" x14ac:dyDescent="0.4">
      <c r="E6" s="27">
        <f t="shared" ref="E6:J6" si="0">SUM(E4:E5)</f>
        <v>-13469.740569999994</v>
      </c>
      <c r="F6" s="27">
        <f t="shared" si="0"/>
        <v>-26700.799999999999</v>
      </c>
      <c r="G6" s="27">
        <f t="shared" si="0"/>
        <v>-13231.059430000005</v>
      </c>
      <c r="H6" s="27">
        <f t="shared" si="0"/>
        <v>5087.1787999997614</v>
      </c>
      <c r="I6" s="27">
        <f t="shared" si="0"/>
        <v>-265.36000000000195</v>
      </c>
      <c r="J6" s="27">
        <f t="shared" si="0"/>
        <v>-8409.2406300002476</v>
      </c>
      <c r="T6" s="5"/>
    </row>
    <row r="7" spans="1:35" ht="44" thickTop="1" x14ac:dyDescent="0.35">
      <c r="J7" s="225"/>
      <c r="K7" s="224" t="s">
        <v>120</v>
      </c>
    </row>
    <row r="8" spans="1:35" ht="17.25" customHeight="1" x14ac:dyDescent="0.35">
      <c r="A8" s="20" t="s">
        <v>104</v>
      </c>
      <c r="J8" s="25">
        <f>ROUND($J$5*K8,2)</f>
        <v>4815.12</v>
      </c>
      <c r="K8" s="222">
        <f>+'PCR Cycle 2'!L8</f>
        <v>0.13576441564001979</v>
      </c>
    </row>
    <row r="9" spans="1:35" ht="17.25" customHeight="1" x14ac:dyDescent="0.35">
      <c r="A9" s="20" t="s">
        <v>105</v>
      </c>
      <c r="J9" s="25">
        <f t="shared" ref="J9:J11" si="1">ROUND($J$5*K9,2)</f>
        <v>12630.25</v>
      </c>
      <c r="K9" s="222">
        <f>+'PCR Cycle 2'!L9</f>
        <v>0.35611574316442379</v>
      </c>
    </row>
    <row r="10" spans="1:35" ht="17.25" customHeight="1" x14ac:dyDescent="0.35">
      <c r="A10" s="20" t="s">
        <v>106</v>
      </c>
      <c r="J10" s="25">
        <f t="shared" si="1"/>
        <v>14836.38</v>
      </c>
      <c r="K10" s="222">
        <f>+'PCR Cycle 2'!L10</f>
        <v>0.4183185730547726</v>
      </c>
    </row>
    <row r="11" spans="1:35" ht="17.25" customHeight="1" thickBot="1" x14ac:dyDescent="0.4">
      <c r="A11" s="20" t="s">
        <v>107</v>
      </c>
      <c r="J11" s="25">
        <f t="shared" si="1"/>
        <v>3184.96</v>
      </c>
      <c r="K11" s="222">
        <f>+'PCR Cycle 2'!L11</f>
        <v>8.9801268140783777E-2</v>
      </c>
    </row>
    <row r="12" spans="1:35" ht="17.25" customHeight="1" thickTop="1" thickBot="1" x14ac:dyDescent="0.4">
      <c r="A12" s="20" t="s">
        <v>109</v>
      </c>
      <c r="J12" s="27">
        <f>SUM(J8:J11)</f>
        <v>35466.71</v>
      </c>
      <c r="K12" s="223">
        <f>SUM(K8:K11)</f>
        <v>1</v>
      </c>
    </row>
    <row r="13" spans="1:35" ht="15.5" thickTop="1" thickBot="1" x14ac:dyDescent="0.4">
      <c r="V13" s="4"/>
      <c r="W13" s="5"/>
    </row>
    <row r="14" spans="1:35" ht="116.5" thickBot="1" x14ac:dyDescent="0.4">
      <c r="B14" s="115" t="str">
        <f>+'PCR Cycle 2'!B14</f>
        <v>Cumulative Over/Under Carryover From 12/01/2023 Filing</v>
      </c>
      <c r="C14" s="267" t="str">
        <f>+'PCR Cycle 2'!C14</f>
        <v>Reverse November 2023 - January 2024 Forecast From 12/01/2023 Filing</v>
      </c>
      <c r="D14" s="267"/>
      <c r="E14" s="351" t="s">
        <v>32</v>
      </c>
      <c r="F14" s="351"/>
      <c r="G14" s="352"/>
      <c r="H14" s="358" t="s">
        <v>32</v>
      </c>
      <c r="I14" s="359"/>
      <c r="J14" s="360"/>
      <c r="K14" s="347" t="s">
        <v>8</v>
      </c>
      <c r="L14" s="348"/>
      <c r="M14" s="349"/>
      <c r="P14" s="290" t="s">
        <v>237</v>
      </c>
    </row>
    <row r="15" spans="1:35" x14ac:dyDescent="0.35">
      <c r="A15" s="46" t="s">
        <v>84</v>
      </c>
      <c r="C15" s="105"/>
      <c r="D15" s="265"/>
      <c r="E15" s="19">
        <f>+'PCR Cycle 2'!E15</f>
        <v>45260</v>
      </c>
      <c r="F15" s="19">
        <f t="shared" ref="F15:M15" si="2">EOMONTH(E15,1)</f>
        <v>45291</v>
      </c>
      <c r="G15" s="19">
        <f t="shared" si="2"/>
        <v>45322</v>
      </c>
      <c r="H15" s="14">
        <f t="shared" si="2"/>
        <v>45351</v>
      </c>
      <c r="I15" s="19">
        <f t="shared" si="2"/>
        <v>45382</v>
      </c>
      <c r="J15" s="15">
        <f t="shared" si="2"/>
        <v>45412</v>
      </c>
      <c r="K15" s="19">
        <f t="shared" si="2"/>
        <v>45443</v>
      </c>
      <c r="L15" s="19">
        <f t="shared" si="2"/>
        <v>45473</v>
      </c>
      <c r="M15" s="15">
        <f t="shared" si="2"/>
        <v>45504</v>
      </c>
      <c r="P15" s="186"/>
      <c r="Z15" s="1"/>
      <c r="AA15" s="1"/>
      <c r="AB15" s="1"/>
      <c r="AC15" s="1"/>
      <c r="AD15" s="1"/>
      <c r="AE15" s="1"/>
      <c r="AF15" s="1"/>
      <c r="AG15" s="1"/>
      <c r="AH15" s="1"/>
      <c r="AI15" s="1"/>
    </row>
    <row r="16" spans="1:35" x14ac:dyDescent="0.35">
      <c r="A16" s="46" t="s">
        <v>5</v>
      </c>
      <c r="C16" s="97">
        <v>11914.5</v>
      </c>
      <c r="D16" s="97"/>
      <c r="E16" s="109">
        <f t="shared" ref="E16:L16" si="3">SUM(E26:E30)</f>
        <v>-5957.25</v>
      </c>
      <c r="F16" s="109">
        <f t="shared" si="3"/>
        <v>-5957.25</v>
      </c>
      <c r="G16" s="110">
        <f t="shared" si="3"/>
        <v>-5957.25</v>
      </c>
      <c r="H16" s="16">
        <f t="shared" si="3"/>
        <v>-4148.7099999999991</v>
      </c>
      <c r="I16" s="55">
        <f t="shared" si="3"/>
        <v>-4148.7099999999991</v>
      </c>
      <c r="J16" s="162">
        <f t="shared" si="3"/>
        <v>-4148.7099999999991</v>
      </c>
      <c r="K16" s="155">
        <f t="shared" si="3"/>
        <v>-4148.7099999999991</v>
      </c>
      <c r="L16" s="78">
        <f t="shared" si="3"/>
        <v>-4148.7099999999991</v>
      </c>
      <c r="M16" s="79"/>
      <c r="P16" s="186">
        <f>-SUM(K16:M16)</f>
        <v>8297.4199999999983</v>
      </c>
    </row>
    <row r="17" spans="1:16" x14ac:dyDescent="0.35">
      <c r="C17" s="99"/>
      <c r="D17" s="99"/>
      <c r="E17" s="17"/>
      <c r="F17" s="17"/>
      <c r="G17" s="17"/>
      <c r="H17" s="10"/>
      <c r="I17" s="17"/>
      <c r="J17" s="11"/>
      <c r="K17" s="31"/>
      <c r="L17" s="31"/>
      <c r="M17" s="29"/>
      <c r="P17" s="186"/>
    </row>
    <row r="18" spans="1:16" x14ac:dyDescent="0.35">
      <c r="A18" s="46" t="s">
        <v>85</v>
      </c>
      <c r="C18" s="99"/>
      <c r="D18" s="99"/>
      <c r="E18" s="18"/>
      <c r="F18" s="18"/>
      <c r="G18" s="18"/>
      <c r="H18" s="91"/>
      <c r="I18" s="18"/>
      <c r="J18" s="163"/>
      <c r="K18" s="31"/>
      <c r="L18" s="31"/>
      <c r="M18" s="29"/>
      <c r="N18" s="3" t="s">
        <v>49</v>
      </c>
      <c r="O18" s="39"/>
      <c r="P18" s="186"/>
    </row>
    <row r="19" spans="1:16" x14ac:dyDescent="0.35">
      <c r="A19" s="46" t="s">
        <v>24</v>
      </c>
      <c r="C19" s="97">
        <v>33803.610800000002</v>
      </c>
      <c r="D19" s="97"/>
      <c r="E19" s="132">
        <f>'[4]November 2023'!$G70</f>
        <v>-7762.32</v>
      </c>
      <c r="F19" s="132">
        <f>'[4]December 2023'!$G70</f>
        <v>-10104.030000000001</v>
      </c>
      <c r="G19" s="132">
        <f>'[4]January 2024'!$G70</f>
        <v>-12854.7</v>
      </c>
      <c r="H19" s="183">
        <f>'[4]February 2024'!$G70</f>
        <v>-11641.98</v>
      </c>
      <c r="I19" s="118">
        <f>'[4]March 2024'!$G70</f>
        <v>-6863.45</v>
      </c>
      <c r="J19" s="164">
        <f>'[4]April 2024'!$G70</f>
        <v>-6298.7300000000005</v>
      </c>
      <c r="K19" s="120">
        <f>'PCR Cycle 2'!K27*$N19</f>
        <v>-6285.8514000000005</v>
      </c>
      <c r="L19" s="41">
        <f>'PCR Cycle 2'!L27*$N19</f>
        <v>-8105.1353200000003</v>
      </c>
      <c r="M19" s="61">
        <f>'PCR Cycle 2'!M27*$N19</f>
        <v>-11903.347320000001</v>
      </c>
      <c r="N19" s="72">
        <v>-4.0000000000000003E-5</v>
      </c>
      <c r="O19" s="4"/>
      <c r="P19" s="186">
        <f t="shared" ref="P19:P23" si="4">-SUM(K19:M19)</f>
        <v>26294.334040000002</v>
      </c>
    </row>
    <row r="20" spans="1:16" x14ac:dyDescent="0.35">
      <c r="A20" s="46" t="s">
        <v>132</v>
      </c>
      <c r="C20" s="97">
        <v>-1482.0137800000002</v>
      </c>
      <c r="D20" s="97"/>
      <c r="E20" s="132">
        <f>'[4]November 2023'!$G71</f>
        <v>450.75</v>
      </c>
      <c r="F20" s="132">
        <f>'[4]December 2023'!$G71</f>
        <v>518.91</v>
      </c>
      <c r="G20" s="132">
        <f>'[4]January 2024'!$G71</f>
        <v>598.12</v>
      </c>
      <c r="H20" s="183">
        <f>'[4]February 2024'!$G71</f>
        <v>196.97</v>
      </c>
      <c r="I20" s="118">
        <f>'[4]March 2024'!$G71</f>
        <v>-474.16</v>
      </c>
      <c r="J20" s="164">
        <f>'[4]April 2024'!$G71</f>
        <v>-450.47</v>
      </c>
      <c r="K20" s="120">
        <f>'PCR Cycle 2'!K28*$N20</f>
        <v>-487.64650000000006</v>
      </c>
      <c r="L20" s="41">
        <f>'PCR Cycle 2'!L28*$N20</f>
        <v>-537.36306999999999</v>
      </c>
      <c r="M20" s="61">
        <f>'PCR Cycle 2'!M28*$N20</f>
        <v>-602.86284000000001</v>
      </c>
      <c r="N20" s="72">
        <v>-1.0000000000000001E-5</v>
      </c>
      <c r="O20" s="4"/>
      <c r="P20" s="186">
        <f t="shared" si="4"/>
        <v>1627.8724100000002</v>
      </c>
    </row>
    <row r="21" spans="1:16" x14ac:dyDescent="0.35">
      <c r="A21" s="46" t="s">
        <v>133</v>
      </c>
      <c r="C21" s="97">
        <v>-16350.68622</v>
      </c>
      <c r="D21" s="97"/>
      <c r="E21" s="132">
        <f>'[4]November 2023'!$G72</f>
        <v>4718.6499999999996</v>
      </c>
      <c r="F21" s="132">
        <f>'[4]December 2023'!$G72</f>
        <v>5216.03</v>
      </c>
      <c r="G21" s="132">
        <f>'[4]January 2024'!$G72</f>
        <v>5825.2</v>
      </c>
      <c r="H21" s="183">
        <f>'[4]February 2024'!$G72</f>
        <v>4630.22</v>
      </c>
      <c r="I21" s="118">
        <f>'[4]March 2024'!$G72</f>
        <v>1613.64</v>
      </c>
      <c r="J21" s="164">
        <f>'[4]April 2024'!$G72</f>
        <v>1521.88</v>
      </c>
      <c r="K21" s="120">
        <f>'PCR Cycle 2'!K29*$N21</f>
        <v>1714.8953000000001</v>
      </c>
      <c r="L21" s="41">
        <f>'PCR Cycle 2'!L29*$N21</f>
        <v>1889.7324400000002</v>
      </c>
      <c r="M21" s="61">
        <f>'PCR Cycle 2'!M29*$N21</f>
        <v>2120.0739600000002</v>
      </c>
      <c r="N21" s="72">
        <v>2.0000000000000002E-5</v>
      </c>
      <c r="O21" s="4"/>
      <c r="P21" s="186">
        <f t="shared" si="4"/>
        <v>-5724.7017000000005</v>
      </c>
    </row>
    <row r="22" spans="1:16" x14ac:dyDescent="0.35">
      <c r="A22" s="46" t="s">
        <v>134</v>
      </c>
      <c r="C22" s="97">
        <v>-13234.537680000003</v>
      </c>
      <c r="D22" s="97"/>
      <c r="E22" s="132">
        <f>'[4]November 2023'!$G73</f>
        <v>3946.64</v>
      </c>
      <c r="F22" s="132">
        <f>'[4]December 2023'!$G73</f>
        <v>4344</v>
      </c>
      <c r="G22" s="132">
        <f>'[4]January 2024'!$G73</f>
        <v>4706.54</v>
      </c>
      <c r="H22" s="183">
        <f>'[4]February 2024'!$G73</f>
        <v>4130.92</v>
      </c>
      <c r="I22" s="118">
        <f>'[4]March 2024'!$G73</f>
        <v>2887.2999999999997</v>
      </c>
      <c r="J22" s="164">
        <f>'[4]April 2024'!$G73</f>
        <v>2702.43</v>
      </c>
      <c r="K22" s="120">
        <f>'PCR Cycle 2'!K30*$N22</f>
        <v>2726.1201800000003</v>
      </c>
      <c r="L22" s="41">
        <f>'PCR Cycle 2'!L30*$N22</f>
        <v>3004.0538000000001</v>
      </c>
      <c r="M22" s="61">
        <f>'PCR Cycle 2'!M30*$N22</f>
        <v>3370.2211400000001</v>
      </c>
      <c r="N22" s="72">
        <v>2.0000000000000002E-5</v>
      </c>
      <c r="O22" s="4"/>
      <c r="P22" s="186">
        <f t="shared" si="4"/>
        <v>-9100.395120000001</v>
      </c>
    </row>
    <row r="23" spans="1:16" x14ac:dyDescent="0.35">
      <c r="A23" s="46" t="s">
        <v>135</v>
      </c>
      <c r="C23" s="97">
        <v>-4589.6043200000004</v>
      </c>
      <c r="D23" s="97"/>
      <c r="E23" s="132">
        <f>'[4]November 2023'!$G74</f>
        <v>1595.11</v>
      </c>
      <c r="F23" s="132">
        <f>'[4]December 2023'!$G74</f>
        <v>1596.52</v>
      </c>
      <c r="G23" s="132">
        <f>'[4]January 2024'!$G74</f>
        <v>1668.12</v>
      </c>
      <c r="H23" s="183">
        <f>'[4]February 2024'!$G74</f>
        <v>1217.19</v>
      </c>
      <c r="I23" s="118">
        <f>'[4]March 2024'!$G74</f>
        <v>716.66</v>
      </c>
      <c r="J23" s="164">
        <f>'[4]April 2024'!$G74</f>
        <v>710.85</v>
      </c>
      <c r="K23" s="120">
        <f>'PCR Cycle 2'!K31*$N23</f>
        <v>724.27480000000003</v>
      </c>
      <c r="L23" s="41">
        <f>'PCR Cycle 2'!L31*$N23</f>
        <v>798.11612000000002</v>
      </c>
      <c r="M23" s="61">
        <f>'PCR Cycle 2'!M31*$N23</f>
        <v>895.39934000000005</v>
      </c>
      <c r="N23" s="72">
        <v>2.0000000000000002E-5</v>
      </c>
      <c r="O23" s="4"/>
      <c r="P23" s="186">
        <f t="shared" si="4"/>
        <v>-2417.7902600000002</v>
      </c>
    </row>
    <row r="24" spans="1:16" x14ac:dyDescent="0.35">
      <c r="C24" s="67"/>
      <c r="D24" s="67"/>
      <c r="E24" s="68"/>
      <c r="F24" s="68"/>
      <c r="G24" s="68"/>
      <c r="H24" s="67"/>
      <c r="I24" s="68"/>
      <c r="J24" s="165"/>
      <c r="K24" s="56"/>
      <c r="L24" s="56"/>
      <c r="M24" s="13"/>
      <c r="O24" s="4"/>
    </row>
    <row r="25" spans="1:16" x14ac:dyDescent="0.35">
      <c r="A25" s="46" t="s">
        <v>86</v>
      </c>
      <c r="C25" s="36"/>
      <c r="D25" s="36"/>
      <c r="E25" s="37"/>
      <c r="F25" s="37"/>
      <c r="G25" s="37"/>
      <c r="H25" s="36"/>
      <c r="I25" s="37"/>
      <c r="J25" s="168"/>
      <c r="K25" s="52"/>
      <c r="L25" s="52"/>
      <c r="M25" s="38"/>
    </row>
    <row r="26" spans="1:16" x14ac:dyDescent="0.35">
      <c r="A26" s="46" t="s">
        <v>24</v>
      </c>
      <c r="C26" s="97">
        <v>10207.76</v>
      </c>
      <c r="D26" s="97"/>
      <c r="E26" s="109">
        <f>ROUND('EO Cycle 2'!$F$54/24+'EO Cycle 2'!$F$65/24+'EO Cycle 2'!$F$76/24+'EO Cycle 2'!$F$87/24,2)</f>
        <v>-5103.88</v>
      </c>
      <c r="F26" s="109">
        <f>ROUND('EO Cycle 2'!$F$54/24+'EO Cycle 2'!$F$65/24+'EO Cycle 2'!$F$76/24+'EO Cycle 2'!$F$87/24,2)</f>
        <v>-5103.88</v>
      </c>
      <c r="G26" s="109">
        <f>ROUND('EO Cycle 2'!$F$54/24+'EO Cycle 2'!$F$65/24+'EO Cycle 2'!$F$76/24+'EO Cycle 2'!$F$87/24,2)</f>
        <v>-5103.88</v>
      </c>
      <c r="H26" s="297">
        <f>ROUND(+'EO Cycle 2'!$F$65/24+'EO Cycle 2'!$F$76/24+'EO Cycle 2'!$F$87/24,2)</f>
        <v>-3172.45</v>
      </c>
      <c r="I26" s="118">
        <f>ROUND(+'EO Cycle 2'!$F$65/24+'EO Cycle 2'!$F$76/24+'EO Cycle 2'!$F$87/24,2)</f>
        <v>-3172.45</v>
      </c>
      <c r="J26" s="164">
        <f>ROUND(+'EO Cycle 2'!$F$65/24+'EO Cycle 2'!$F$76/24+'EO Cycle 2'!$F$87/24,2)</f>
        <v>-3172.45</v>
      </c>
      <c r="K26" s="139">
        <f>ROUND(+'EO Cycle 2'!$F$65/24+'EO Cycle 2'!$F$76/24+'EO Cycle 2'!$F$87/24,2)</f>
        <v>-3172.45</v>
      </c>
      <c r="L26" s="139">
        <f>ROUND(+'EO Cycle 2'!$F$65/24+'EO Cycle 2'!$F$76/24+'EO Cycle 2'!$F$87/24,2)</f>
        <v>-3172.45</v>
      </c>
      <c r="M26" s="79"/>
      <c r="P26" s="186">
        <f t="shared" ref="P26:P32" si="5">-SUM(K26:M26)</f>
        <v>6344.9</v>
      </c>
    </row>
    <row r="27" spans="1:16" x14ac:dyDescent="0.35">
      <c r="A27" s="46" t="s">
        <v>132</v>
      </c>
      <c r="C27" s="97">
        <v>2832.26</v>
      </c>
      <c r="D27" s="97"/>
      <c r="E27" s="109">
        <f>ROUND(+'EO Cycle 2'!$F58/24+'EO Cycle 2'!$F69/24+'EO Cycle 2'!$F80/24+'EO Cycle 2'!$F91/24,2)</f>
        <v>-1416.13</v>
      </c>
      <c r="F27" s="109">
        <f>ROUND(+'EO Cycle 2'!$F58/24+'EO Cycle 2'!$F69/24+'EO Cycle 2'!$F80/24+'EO Cycle 2'!$F91/24,2)</f>
        <v>-1416.13</v>
      </c>
      <c r="G27" s="109">
        <f>ROUND(+'EO Cycle 2'!$F58/24+'EO Cycle 2'!$F69/24+'EO Cycle 2'!$F80/24+'EO Cycle 2'!$F91/24,2)</f>
        <v>-1416.13</v>
      </c>
      <c r="H27" s="297">
        <f>ROUND(+'EO Cycle 2'!$F69/24+'EO Cycle 2'!$F80/24+'EO Cycle 2'!$F91/24,2)</f>
        <v>-1049.04</v>
      </c>
      <c r="I27" s="118">
        <f>ROUND(+'EO Cycle 2'!$F69/24+'EO Cycle 2'!$F80/24+'EO Cycle 2'!$F91/24,2)</f>
        <v>-1049.04</v>
      </c>
      <c r="J27" s="164">
        <f>ROUND(+'EO Cycle 2'!$F69/24+'EO Cycle 2'!$F80/24+'EO Cycle 2'!$F91/24,2)</f>
        <v>-1049.04</v>
      </c>
      <c r="K27" s="139">
        <f>ROUND(+'EO Cycle 2'!$F69/24+'EO Cycle 2'!$F80/24+'EO Cycle 2'!$F91/24,2)</f>
        <v>-1049.04</v>
      </c>
      <c r="L27" s="139">
        <f>ROUND(+'EO Cycle 2'!$F69/24+'EO Cycle 2'!$F80/24+'EO Cycle 2'!$F91/24,2)</f>
        <v>-1049.04</v>
      </c>
      <c r="M27" s="79"/>
      <c r="P27" s="186">
        <f t="shared" si="5"/>
        <v>2098.08</v>
      </c>
    </row>
    <row r="28" spans="1:16" x14ac:dyDescent="0.35">
      <c r="A28" s="46" t="s">
        <v>133</v>
      </c>
      <c r="C28" s="97">
        <v>-658.4</v>
      </c>
      <c r="D28" s="97"/>
      <c r="E28" s="109">
        <f>ROUND(+'EO Cycle 2'!$F59/24+'EO Cycle 2'!$F70/24+'EO Cycle 2'!$F81/24+'EO Cycle 2'!$F92/24,2)</f>
        <v>329.2</v>
      </c>
      <c r="F28" s="109">
        <f>ROUND(+'EO Cycle 2'!$F59/24+'EO Cycle 2'!$F70/24+'EO Cycle 2'!$F81/24+'EO Cycle 2'!$F92/24,2)</f>
        <v>329.2</v>
      </c>
      <c r="G28" s="109">
        <f>ROUND(+'EO Cycle 2'!$F59/24+'EO Cycle 2'!$F70/24+'EO Cycle 2'!$F81/24+'EO Cycle 2'!$F92/24,2)</f>
        <v>329.2</v>
      </c>
      <c r="H28" s="297">
        <f>ROUND(+'EO Cycle 2'!$F70/24+'EO Cycle 2'!$F81/24+'EO Cycle 2'!$F92/24,2)</f>
        <v>67.14</v>
      </c>
      <c r="I28" s="118">
        <f>ROUND(+'EO Cycle 2'!$F70/24+'EO Cycle 2'!$F81/24+'EO Cycle 2'!$F92/24,2)</f>
        <v>67.14</v>
      </c>
      <c r="J28" s="164">
        <f>ROUND(+'EO Cycle 2'!$F70/24+'EO Cycle 2'!$F81/24+'EO Cycle 2'!$F92/24,2)</f>
        <v>67.14</v>
      </c>
      <c r="K28" s="139">
        <f>ROUND(+'EO Cycle 2'!$F70/24+'EO Cycle 2'!$F81/24+'EO Cycle 2'!$F92/24,2)</f>
        <v>67.14</v>
      </c>
      <c r="L28" s="139">
        <f>ROUND(+'EO Cycle 2'!$F70/24+'EO Cycle 2'!$F81/24+'EO Cycle 2'!$F92/24,2)</f>
        <v>67.14</v>
      </c>
      <c r="M28" s="79"/>
      <c r="P28" s="186">
        <f t="shared" si="5"/>
        <v>-134.28</v>
      </c>
    </row>
    <row r="29" spans="1:16" x14ac:dyDescent="0.35">
      <c r="A29" s="46" t="s">
        <v>134</v>
      </c>
      <c r="C29" s="97">
        <v>744.48</v>
      </c>
      <c r="D29" s="97"/>
      <c r="E29" s="109">
        <f>ROUND(+'EO Cycle 2'!$F60/24+'EO Cycle 2'!$F71/24+'EO Cycle 2'!$F82/24+'EO Cycle 2'!$F93/24,2)</f>
        <v>-372.24</v>
      </c>
      <c r="F29" s="109">
        <f>ROUND(+'EO Cycle 2'!$F60/24+'EO Cycle 2'!$F71/24+'EO Cycle 2'!$F82/24+'EO Cycle 2'!$F93/24,2)</f>
        <v>-372.24</v>
      </c>
      <c r="G29" s="109">
        <f>ROUND(+'EO Cycle 2'!$F60/24+'EO Cycle 2'!$F71/24+'EO Cycle 2'!$F82/24+'EO Cycle 2'!$F93/24,2)</f>
        <v>-372.24</v>
      </c>
      <c r="H29" s="297">
        <f>ROUND(+'EO Cycle 2'!$F71/24+'EO Cycle 2'!$F82/24+'EO Cycle 2'!$F93/24,2)</f>
        <v>-414.04</v>
      </c>
      <c r="I29" s="118">
        <f>ROUND(+'EO Cycle 2'!$F71/24+'EO Cycle 2'!$F82/24+'EO Cycle 2'!$F93/24,2)</f>
        <v>-414.04</v>
      </c>
      <c r="J29" s="164">
        <f>ROUND(+'EO Cycle 2'!$F71/24+'EO Cycle 2'!$F82/24+'EO Cycle 2'!$F93/24,2)</f>
        <v>-414.04</v>
      </c>
      <c r="K29" s="139">
        <f>ROUND(+'EO Cycle 2'!$F71/24+'EO Cycle 2'!$F82/24+'EO Cycle 2'!$F93/24,2)</f>
        <v>-414.04</v>
      </c>
      <c r="L29" s="139">
        <f>ROUND(+'EO Cycle 2'!$F71/24+'EO Cycle 2'!$F82/24+'EO Cycle 2'!$F93/24,2)</f>
        <v>-414.04</v>
      </c>
      <c r="M29" s="79"/>
      <c r="P29" s="186">
        <f t="shared" si="5"/>
        <v>828.08</v>
      </c>
    </row>
    <row r="30" spans="1:16" x14ac:dyDescent="0.35">
      <c r="A30" s="46" t="s">
        <v>135</v>
      </c>
      <c r="C30" s="97">
        <v>-1211.5999999999999</v>
      </c>
      <c r="D30" s="97"/>
      <c r="E30" s="109">
        <f>ROUND(+'EO Cycle 2'!$F61/24+'EO Cycle 2'!$F72/24+'EO Cycle 2'!$F83/24+'EO Cycle 2'!$F94/24,2)</f>
        <v>605.79999999999995</v>
      </c>
      <c r="F30" s="109">
        <f>ROUND(+'EO Cycle 2'!$F61/24+'EO Cycle 2'!$F72/24+'EO Cycle 2'!$F83/24+'EO Cycle 2'!$F94/24,2)</f>
        <v>605.79999999999995</v>
      </c>
      <c r="G30" s="109">
        <f>ROUND(+'EO Cycle 2'!$F61/24+'EO Cycle 2'!$F72/24+'EO Cycle 2'!$F83/24+'EO Cycle 2'!$F94/24,2)</f>
        <v>605.79999999999995</v>
      </c>
      <c r="H30" s="297">
        <f>ROUND(+'EO Cycle 2'!$F72/24+'EO Cycle 2'!$F83/24+'EO Cycle 2'!$F94/24,2)</f>
        <v>419.68</v>
      </c>
      <c r="I30" s="118">
        <f>ROUND(+'EO Cycle 2'!$F72/24+'EO Cycle 2'!$F83/24+'EO Cycle 2'!$F94/24,2)</f>
        <v>419.68</v>
      </c>
      <c r="J30" s="164">
        <f>ROUND(+'EO Cycle 2'!$F72/24+'EO Cycle 2'!$F83/24+'EO Cycle 2'!$F94/24,2)</f>
        <v>419.68</v>
      </c>
      <c r="K30" s="139">
        <f>ROUND(+'EO Cycle 2'!$F72/24+'EO Cycle 2'!$F83/24+'EO Cycle 2'!$F94/24,2)</f>
        <v>419.68</v>
      </c>
      <c r="L30" s="139">
        <f>ROUND(+'EO Cycle 2'!$F72/24+'EO Cycle 2'!$F83/24+'EO Cycle 2'!$F94/24,2)</f>
        <v>419.68</v>
      </c>
      <c r="M30" s="79"/>
      <c r="O30" s="47"/>
      <c r="P30" s="186">
        <f t="shared" si="5"/>
        <v>-839.36</v>
      </c>
    </row>
    <row r="31" spans="1:16" x14ac:dyDescent="0.35">
      <c r="C31" s="99"/>
      <c r="D31" s="99"/>
      <c r="E31" s="18"/>
      <c r="F31" s="18"/>
      <c r="G31" s="18"/>
      <c r="H31" s="91"/>
      <c r="I31" s="18"/>
      <c r="J31" s="163"/>
      <c r="K31" s="56"/>
      <c r="L31" s="56"/>
      <c r="M31" s="13"/>
    </row>
    <row r="32" spans="1:16" ht="15" thickBot="1" x14ac:dyDescent="0.4">
      <c r="A32" s="3" t="s">
        <v>14</v>
      </c>
      <c r="B32" s="3"/>
      <c r="C32" s="103">
        <v>-115.03999999999999</v>
      </c>
      <c r="D32" s="103"/>
      <c r="E32" s="132">
        <v>76.579999999999984</v>
      </c>
      <c r="F32" s="132">
        <v>33.70999999999998</v>
      </c>
      <c r="G32" s="133">
        <v>-2.9300000000000068</v>
      </c>
      <c r="H32" s="26">
        <v>-26.349999999999966</v>
      </c>
      <c r="I32" s="119">
        <v>-39.359999999999957</v>
      </c>
      <c r="J32" s="169">
        <v>-51.430000000000007</v>
      </c>
      <c r="K32" s="158">
        <f>ROUND((SUM(J42:J46)+SUM(J50:J54)+SUM(K35:K39)/2)*K$48,2)</f>
        <v>-65</v>
      </c>
      <c r="L32" s="141">
        <f>ROUND((SUM(K42:K46)+SUM(K50:K54)+SUM(L35:L39)/2)*L$48,2)</f>
        <v>-75.55</v>
      </c>
      <c r="M32" s="82"/>
      <c r="P32" s="186">
        <f t="shared" si="5"/>
        <v>140.55000000000001</v>
      </c>
    </row>
    <row r="33" spans="1:16" x14ac:dyDescent="0.35">
      <c r="C33" s="64"/>
      <c r="D33" s="64"/>
      <c r="E33" s="145"/>
      <c r="F33" s="145"/>
      <c r="G33" s="146"/>
      <c r="H33" s="64"/>
      <c r="I33" s="33"/>
      <c r="J33" s="170"/>
      <c r="K33" s="34"/>
      <c r="L33" s="34"/>
      <c r="M33" s="60"/>
    </row>
    <row r="34" spans="1:16" x14ac:dyDescent="0.35">
      <c r="A34" s="46" t="s">
        <v>51</v>
      </c>
      <c r="C34" s="65"/>
      <c r="D34" s="65"/>
      <c r="E34" s="146"/>
      <c r="F34" s="146"/>
      <c r="G34" s="146"/>
      <c r="H34" s="65"/>
      <c r="I34" s="35"/>
      <c r="J34" s="171"/>
      <c r="K34" s="34"/>
      <c r="L34" s="34"/>
      <c r="M34" s="60"/>
    </row>
    <row r="35" spans="1:16" x14ac:dyDescent="0.35">
      <c r="A35" s="46" t="s">
        <v>24</v>
      </c>
      <c r="C35" s="100">
        <f t="shared" ref="C35:M35" si="6">C26-C19</f>
        <v>-23595.8508</v>
      </c>
      <c r="D35" s="100"/>
      <c r="E35" s="41">
        <f t="shared" si="6"/>
        <v>2658.4399999999996</v>
      </c>
      <c r="F35" s="41">
        <f t="shared" si="6"/>
        <v>5000.1500000000005</v>
      </c>
      <c r="G35" s="108">
        <f t="shared" si="6"/>
        <v>7750.8200000000006</v>
      </c>
      <c r="H35" s="40">
        <f t="shared" si="6"/>
        <v>8469.5299999999988</v>
      </c>
      <c r="I35" s="41">
        <f t="shared" si="6"/>
        <v>3691</v>
      </c>
      <c r="J35" s="61">
        <f t="shared" si="6"/>
        <v>3126.2800000000007</v>
      </c>
      <c r="K35" s="120">
        <f t="shared" si="6"/>
        <v>3113.4014000000006</v>
      </c>
      <c r="L35" s="41">
        <f t="shared" si="6"/>
        <v>4932.6853200000005</v>
      </c>
      <c r="M35" s="61">
        <f t="shared" si="6"/>
        <v>11903.347320000001</v>
      </c>
    </row>
    <row r="36" spans="1:16" x14ac:dyDescent="0.35">
      <c r="A36" s="46" t="s">
        <v>132</v>
      </c>
      <c r="C36" s="100">
        <f t="shared" ref="C36:M36" si="7">C27-C20</f>
        <v>4314.2737800000004</v>
      </c>
      <c r="D36" s="100"/>
      <c r="E36" s="41">
        <f t="shared" si="7"/>
        <v>-1866.88</v>
      </c>
      <c r="F36" s="41">
        <f t="shared" si="7"/>
        <v>-1935.04</v>
      </c>
      <c r="G36" s="108">
        <f t="shared" si="7"/>
        <v>-2014.25</v>
      </c>
      <c r="H36" s="40">
        <f t="shared" si="7"/>
        <v>-1246.01</v>
      </c>
      <c r="I36" s="41">
        <f t="shared" si="7"/>
        <v>-574.87999999999988</v>
      </c>
      <c r="J36" s="61">
        <f t="shared" si="7"/>
        <v>-598.56999999999994</v>
      </c>
      <c r="K36" s="120">
        <f t="shared" si="7"/>
        <v>-561.3934999999999</v>
      </c>
      <c r="L36" s="41">
        <f t="shared" si="7"/>
        <v>-511.67692999999997</v>
      </c>
      <c r="M36" s="61">
        <f t="shared" si="7"/>
        <v>602.86284000000001</v>
      </c>
    </row>
    <row r="37" spans="1:16" x14ac:dyDescent="0.35">
      <c r="A37" s="46" t="s">
        <v>133</v>
      </c>
      <c r="C37" s="100">
        <f t="shared" ref="C37:M37" si="8">C28-C21</f>
        <v>15692.28622</v>
      </c>
      <c r="D37" s="100"/>
      <c r="E37" s="41">
        <f t="shared" si="8"/>
        <v>-4389.45</v>
      </c>
      <c r="F37" s="41">
        <f t="shared" si="8"/>
        <v>-4886.83</v>
      </c>
      <c r="G37" s="108">
        <f t="shared" si="8"/>
        <v>-5496</v>
      </c>
      <c r="H37" s="40">
        <f t="shared" si="8"/>
        <v>-4563.08</v>
      </c>
      <c r="I37" s="41">
        <f t="shared" si="8"/>
        <v>-1546.5</v>
      </c>
      <c r="J37" s="61">
        <f t="shared" si="8"/>
        <v>-1454.74</v>
      </c>
      <c r="K37" s="120">
        <f t="shared" si="8"/>
        <v>-1647.7553</v>
      </c>
      <c r="L37" s="41">
        <f t="shared" si="8"/>
        <v>-1822.5924400000001</v>
      </c>
      <c r="M37" s="61">
        <f t="shared" si="8"/>
        <v>-2120.0739600000002</v>
      </c>
    </row>
    <row r="38" spans="1:16" x14ac:dyDescent="0.35">
      <c r="A38" s="46" t="s">
        <v>134</v>
      </c>
      <c r="C38" s="100">
        <f t="shared" ref="C38:M38" si="9">C29-C22</f>
        <v>13979.017680000003</v>
      </c>
      <c r="D38" s="100"/>
      <c r="E38" s="41">
        <f t="shared" si="9"/>
        <v>-4318.88</v>
      </c>
      <c r="F38" s="41">
        <f t="shared" si="9"/>
        <v>-4716.24</v>
      </c>
      <c r="G38" s="108">
        <f t="shared" si="9"/>
        <v>-5078.78</v>
      </c>
      <c r="H38" s="40">
        <f t="shared" si="9"/>
        <v>-4544.96</v>
      </c>
      <c r="I38" s="41">
        <f t="shared" si="9"/>
        <v>-3301.3399999999997</v>
      </c>
      <c r="J38" s="61">
        <f t="shared" si="9"/>
        <v>-3116.47</v>
      </c>
      <c r="K38" s="120">
        <f t="shared" si="9"/>
        <v>-3140.1601800000003</v>
      </c>
      <c r="L38" s="41">
        <f t="shared" si="9"/>
        <v>-3418.0938000000001</v>
      </c>
      <c r="M38" s="61">
        <f t="shared" si="9"/>
        <v>-3370.2211400000001</v>
      </c>
    </row>
    <row r="39" spans="1:16" x14ac:dyDescent="0.35">
      <c r="A39" s="46" t="s">
        <v>135</v>
      </c>
      <c r="C39" s="100">
        <f t="shared" ref="C39:M39" si="10">C30-C23</f>
        <v>3378.0043200000005</v>
      </c>
      <c r="D39" s="100"/>
      <c r="E39" s="41">
        <f t="shared" si="10"/>
        <v>-989.31</v>
      </c>
      <c r="F39" s="41">
        <f t="shared" si="10"/>
        <v>-990.72</v>
      </c>
      <c r="G39" s="108">
        <f t="shared" si="10"/>
        <v>-1062.32</v>
      </c>
      <c r="H39" s="40">
        <f t="shared" si="10"/>
        <v>-797.51</v>
      </c>
      <c r="I39" s="41">
        <f t="shared" si="10"/>
        <v>-296.97999999999996</v>
      </c>
      <c r="J39" s="61">
        <f t="shared" si="10"/>
        <v>-291.17</v>
      </c>
      <c r="K39" s="120">
        <f t="shared" si="10"/>
        <v>-304.59480000000002</v>
      </c>
      <c r="L39" s="41">
        <f t="shared" si="10"/>
        <v>-378.43612000000002</v>
      </c>
      <c r="M39" s="61">
        <f t="shared" si="10"/>
        <v>-895.39934000000005</v>
      </c>
    </row>
    <row r="40" spans="1:16" x14ac:dyDescent="0.35">
      <c r="C40" s="99"/>
      <c r="D40" s="99"/>
      <c r="E40" s="17"/>
      <c r="F40" s="17"/>
      <c r="G40" s="17"/>
      <c r="H40" s="10"/>
      <c r="I40" s="17"/>
      <c r="J40" s="11"/>
      <c r="K40" s="17"/>
      <c r="L40" s="17"/>
      <c r="M40" s="11"/>
    </row>
    <row r="41" spans="1:16" x14ac:dyDescent="0.35">
      <c r="A41" s="46" t="s">
        <v>52</v>
      </c>
      <c r="C41" s="99"/>
      <c r="D41" s="99"/>
      <c r="E41" s="17"/>
      <c r="F41" s="17"/>
      <c r="G41" s="17"/>
      <c r="H41" s="10"/>
      <c r="I41" s="17"/>
      <c r="J41" s="11"/>
      <c r="K41" s="17"/>
      <c r="L41" s="17"/>
      <c r="M41" s="11"/>
    </row>
    <row r="42" spans="1:16" x14ac:dyDescent="0.35">
      <c r="A42" s="46" t="s">
        <v>24</v>
      </c>
      <c r="B42" s="312">
        <v>-68693.669200000004</v>
      </c>
      <c r="C42" s="100">
        <f t="shared" ref="C42:M42" si="11">B42+C35+B50</f>
        <v>-92289.52</v>
      </c>
      <c r="D42" s="100"/>
      <c r="E42" s="41">
        <f>C42+E35+C50+D50</f>
        <v>-88693.790000000008</v>
      </c>
      <c r="F42" s="41">
        <f t="shared" si="11"/>
        <v>-84176.190000000017</v>
      </c>
      <c r="G42" s="108">
        <f t="shared" si="11"/>
        <v>-76900.680000000008</v>
      </c>
      <c r="H42" s="40">
        <f t="shared" si="11"/>
        <v>-68872.87000000001</v>
      </c>
      <c r="I42" s="41">
        <f t="shared" si="11"/>
        <v>-65580.690000000017</v>
      </c>
      <c r="J42" s="61">
        <f t="shared" si="11"/>
        <v>-62822.440000000017</v>
      </c>
      <c r="K42" s="120">
        <f t="shared" si="11"/>
        <v>-60060.118600000016</v>
      </c>
      <c r="L42" s="41">
        <f t="shared" si="11"/>
        <v>-55463.413280000015</v>
      </c>
      <c r="M42" s="61">
        <f t="shared" si="11"/>
        <v>-43875.945960000012</v>
      </c>
      <c r="P42" s="186"/>
    </row>
    <row r="43" spans="1:16" x14ac:dyDescent="0.35">
      <c r="A43" s="46" t="s">
        <v>132</v>
      </c>
      <c r="B43" s="312">
        <v>-191297.46378000011</v>
      </c>
      <c r="C43" s="100">
        <f t="shared" ref="C43:M43" si="12">B43+C36+B51</f>
        <v>-186983.19000000012</v>
      </c>
      <c r="D43" s="100"/>
      <c r="E43" s="41">
        <f t="shared" ref="E43:E46" si="13">C43+E36+C51+D51</f>
        <v>-186841.65000000011</v>
      </c>
      <c r="F43" s="41">
        <f t="shared" si="12"/>
        <v>-189773.21000000011</v>
      </c>
      <c r="G43" s="108">
        <f t="shared" si="12"/>
        <v>-192822.8300000001</v>
      </c>
      <c r="H43" s="40">
        <f t="shared" si="12"/>
        <v>-195117.78000000012</v>
      </c>
      <c r="I43" s="41">
        <f t="shared" si="12"/>
        <v>-196753.67000000013</v>
      </c>
      <c r="J43" s="61">
        <f t="shared" si="12"/>
        <v>-198424.61000000013</v>
      </c>
      <c r="K43" s="120">
        <f t="shared" si="12"/>
        <v>-200066.33350000012</v>
      </c>
      <c r="L43" s="41">
        <f t="shared" si="12"/>
        <v>-201667.40043000013</v>
      </c>
      <c r="M43" s="61">
        <f t="shared" si="12"/>
        <v>-202162.78759000014</v>
      </c>
      <c r="P43" s="186"/>
    </row>
    <row r="44" spans="1:16" x14ac:dyDescent="0.35">
      <c r="A44" s="46" t="s">
        <v>133</v>
      </c>
      <c r="B44" s="312">
        <v>127020.54377999983</v>
      </c>
      <c r="C44" s="100">
        <f t="shared" ref="C44:M44" si="14">B44+C37+B52</f>
        <v>142712.82999999984</v>
      </c>
      <c r="D44" s="100"/>
      <c r="E44" s="41">
        <f t="shared" si="13"/>
        <v>136857.53999999983</v>
      </c>
      <c r="F44" s="41">
        <f t="shared" si="14"/>
        <v>132716.06999999983</v>
      </c>
      <c r="G44" s="108">
        <f t="shared" si="14"/>
        <v>127961.25999999983</v>
      </c>
      <c r="H44" s="40">
        <f t="shared" si="14"/>
        <v>124112.95999999983</v>
      </c>
      <c r="I44" s="41">
        <f t="shared" si="14"/>
        <v>123255.96999999983</v>
      </c>
      <c r="J44" s="61">
        <f t="shared" si="14"/>
        <v>122478.21999999983</v>
      </c>
      <c r="K44" s="120">
        <f t="shared" si="14"/>
        <v>121502.27469999982</v>
      </c>
      <c r="L44" s="41">
        <f t="shared" si="14"/>
        <v>120346.70225999983</v>
      </c>
      <c r="M44" s="61">
        <f t="shared" si="14"/>
        <v>118887.81829999984</v>
      </c>
      <c r="P44" s="186"/>
    </row>
    <row r="45" spans="1:16" x14ac:dyDescent="0.35">
      <c r="A45" s="46" t="s">
        <v>134</v>
      </c>
      <c r="B45" s="312">
        <v>31106.252320000065</v>
      </c>
      <c r="C45" s="100">
        <f t="shared" ref="C45:M45" si="15">B45+C38+B53</f>
        <v>45085.27000000007</v>
      </c>
      <c r="D45" s="100"/>
      <c r="E45" s="41">
        <f t="shared" si="13"/>
        <v>40335.640000000072</v>
      </c>
      <c r="F45" s="41">
        <f t="shared" si="15"/>
        <v>35847.190000000075</v>
      </c>
      <c r="G45" s="108">
        <f t="shared" si="15"/>
        <v>30977.920000000075</v>
      </c>
      <c r="H45" s="40">
        <f t="shared" si="15"/>
        <v>26616.250000000076</v>
      </c>
      <c r="I45" s="41">
        <f t="shared" si="15"/>
        <v>23472.500000000076</v>
      </c>
      <c r="J45" s="61">
        <f t="shared" si="15"/>
        <v>20493.160000000076</v>
      </c>
      <c r="K45" s="120">
        <f t="shared" si="15"/>
        <v>17473.239820000079</v>
      </c>
      <c r="L45" s="41">
        <f t="shared" si="15"/>
        <v>14158.986020000078</v>
      </c>
      <c r="M45" s="61">
        <f t="shared" si="15"/>
        <v>10875.284880000079</v>
      </c>
      <c r="P45" s="186"/>
    </row>
    <row r="46" spans="1:16" x14ac:dyDescent="0.35">
      <c r="A46" s="46" t="s">
        <v>135</v>
      </c>
      <c r="B46" s="312">
        <v>106951.51567999998</v>
      </c>
      <c r="C46" s="100">
        <f>B46+C39+B54</f>
        <v>110329.51999999999</v>
      </c>
      <c r="D46" s="100"/>
      <c r="E46" s="41">
        <f t="shared" si="13"/>
        <v>108176.04999999999</v>
      </c>
      <c r="F46" s="41">
        <f t="shared" ref="F46:M46" si="16">E46+F39+E54</f>
        <v>107767.82999999999</v>
      </c>
      <c r="G46" s="108">
        <f t="shared" si="16"/>
        <v>107299.19999999998</v>
      </c>
      <c r="H46" s="40">
        <f t="shared" si="16"/>
        <v>107091.35999999999</v>
      </c>
      <c r="I46" s="41">
        <f t="shared" si="16"/>
        <v>107380.76</v>
      </c>
      <c r="J46" s="61">
        <f t="shared" si="16"/>
        <v>107676.51999999999</v>
      </c>
      <c r="K46" s="120">
        <f t="shared" si="16"/>
        <v>107959.85519999998</v>
      </c>
      <c r="L46" s="41">
        <f t="shared" si="16"/>
        <v>108170.92907999997</v>
      </c>
      <c r="M46" s="61">
        <f t="shared" si="16"/>
        <v>107866.38973999997</v>
      </c>
      <c r="P46" s="186"/>
    </row>
    <row r="47" spans="1:16" x14ac:dyDescent="0.35">
      <c r="C47" s="99"/>
      <c r="D47" s="99"/>
      <c r="E47" s="17"/>
      <c r="F47" s="17"/>
      <c r="G47" s="17"/>
      <c r="H47" s="10"/>
      <c r="I47" s="17"/>
      <c r="J47" s="11"/>
      <c r="K47" s="17"/>
      <c r="L47" s="17"/>
      <c r="M47" s="11"/>
    </row>
    <row r="48" spans="1:16" x14ac:dyDescent="0.35">
      <c r="A48" s="39" t="s">
        <v>48</v>
      </c>
      <c r="B48" s="39"/>
      <c r="C48" s="104"/>
      <c r="D48" s="104"/>
      <c r="E48" s="83">
        <f>+'PCR Cycle 2'!E50</f>
        <v>5.3602700000000003E-3</v>
      </c>
      <c r="F48" s="83">
        <f>+'PCR Cycle 2'!F50</f>
        <v>5.4837899999999997E-3</v>
      </c>
      <c r="G48" s="83">
        <f>+'PCR Cycle 2'!G50</f>
        <v>5.4684599999999996E-3</v>
      </c>
      <c r="H48" s="84">
        <f>+'PCR Cycle 2'!H50</f>
        <v>5.4552200000000002E-3</v>
      </c>
      <c r="I48" s="83">
        <f>+'PCR Cycle 2'!I50</f>
        <v>5.4582900000000002E-3</v>
      </c>
      <c r="J48" s="92">
        <f>+'PCR Cycle 2'!J50</f>
        <v>5.45277E-3</v>
      </c>
      <c r="K48" s="83">
        <f>+'PCR Cycle 2'!K50</f>
        <v>5.45277E-3</v>
      </c>
      <c r="L48" s="83">
        <f>+'PCR Cycle 2'!L50</f>
        <v>5.45277E-3</v>
      </c>
      <c r="M48" s="85"/>
    </row>
    <row r="49" spans="1:16" x14ac:dyDescent="0.35">
      <c r="A49" s="39" t="s">
        <v>36</v>
      </c>
      <c r="B49" s="39"/>
      <c r="C49" s="106"/>
      <c r="D49" s="106"/>
      <c r="E49" s="83"/>
      <c r="F49" s="83"/>
      <c r="G49" s="83"/>
      <c r="H49" s="84"/>
      <c r="I49" s="83"/>
      <c r="J49" s="85"/>
      <c r="K49" s="83"/>
      <c r="L49" s="83"/>
      <c r="M49" s="85"/>
    </row>
    <row r="50" spans="1:16" x14ac:dyDescent="0.35">
      <c r="A50" s="46" t="s">
        <v>24</v>
      </c>
      <c r="C50" s="313">
        <v>937.29</v>
      </c>
      <c r="D50" s="100"/>
      <c r="E50" s="41">
        <f>ROUND((C42+C50+D50+E35/2)*E$48,2)</f>
        <v>-482.55</v>
      </c>
      <c r="F50" s="41">
        <f t="shared" ref="F50:M50" si="17">ROUND((E42+E50+F35/2)*F$48,2)</f>
        <v>-475.31</v>
      </c>
      <c r="G50" s="108">
        <f t="shared" si="17"/>
        <v>-441.72</v>
      </c>
      <c r="H50" s="40">
        <f t="shared" si="17"/>
        <v>-398.82</v>
      </c>
      <c r="I50" s="120">
        <f t="shared" si="17"/>
        <v>-368.03</v>
      </c>
      <c r="J50" s="49">
        <f t="shared" si="17"/>
        <v>-351.08</v>
      </c>
      <c r="K50" s="159">
        <f t="shared" si="17"/>
        <v>-335.98</v>
      </c>
      <c r="L50" s="108">
        <f t="shared" si="17"/>
        <v>-315.88</v>
      </c>
      <c r="M50" s="61">
        <f t="shared" si="17"/>
        <v>0</v>
      </c>
      <c r="P50" s="186">
        <f t="shared" ref="P50:P54" si="18">-SUM(K50:M50)</f>
        <v>651.86</v>
      </c>
    </row>
    <row r="51" spans="1:16" x14ac:dyDescent="0.35">
      <c r="A51" s="46" t="s">
        <v>132</v>
      </c>
      <c r="C51" s="313">
        <v>2008.42</v>
      </c>
      <c r="D51" s="100"/>
      <c r="E51" s="41">
        <f t="shared" ref="E51:E54" si="19">ROUND((C43+C51+D51+E36/2)*E$48,2)</f>
        <v>-996.52</v>
      </c>
      <c r="F51" s="41">
        <f t="shared" ref="F51:M51" si="20">ROUND((E43+E51+F36/2)*F$48,2)</f>
        <v>-1035.3699999999999</v>
      </c>
      <c r="G51" s="108">
        <f t="shared" si="20"/>
        <v>-1048.94</v>
      </c>
      <c r="H51" s="40">
        <f t="shared" si="20"/>
        <v>-1061.01</v>
      </c>
      <c r="I51" s="120">
        <f t="shared" si="20"/>
        <v>-1072.3699999999999</v>
      </c>
      <c r="J51" s="49">
        <f t="shared" si="20"/>
        <v>-1080.33</v>
      </c>
      <c r="K51" s="159">
        <f t="shared" si="20"/>
        <v>-1089.3900000000001</v>
      </c>
      <c r="L51" s="108">
        <f t="shared" si="20"/>
        <v>-1098.25</v>
      </c>
      <c r="M51" s="61">
        <f t="shared" si="20"/>
        <v>0</v>
      </c>
      <c r="P51" s="186">
        <f t="shared" si="18"/>
        <v>2187.6400000000003</v>
      </c>
    </row>
    <row r="52" spans="1:16" x14ac:dyDescent="0.35">
      <c r="A52" s="46" t="s">
        <v>133</v>
      </c>
      <c r="C52" s="313">
        <v>-1465.8400000000001</v>
      </c>
      <c r="D52" s="100"/>
      <c r="E52" s="41">
        <f t="shared" si="19"/>
        <v>745.36</v>
      </c>
      <c r="F52" s="41">
        <f>ROUND((E44+E52+F37/2)*F$48,2)</f>
        <v>741.19</v>
      </c>
      <c r="G52" s="108">
        <f t="shared" ref="G52:M52" si="21">ROUND((F44+F52+G37/2)*G$48,2)</f>
        <v>714.78</v>
      </c>
      <c r="H52" s="40">
        <f t="shared" si="21"/>
        <v>689.51</v>
      </c>
      <c r="I52" s="120">
        <f t="shared" si="21"/>
        <v>676.99</v>
      </c>
      <c r="J52" s="49">
        <f t="shared" si="21"/>
        <v>671.81</v>
      </c>
      <c r="K52" s="159">
        <f t="shared" si="21"/>
        <v>667.02</v>
      </c>
      <c r="L52" s="108">
        <f t="shared" si="21"/>
        <v>661.19</v>
      </c>
      <c r="M52" s="61">
        <f t="shared" si="21"/>
        <v>0</v>
      </c>
      <c r="P52" s="186">
        <f t="shared" si="18"/>
        <v>-1328.21</v>
      </c>
    </row>
    <row r="53" spans="1:16" x14ac:dyDescent="0.35">
      <c r="A53" s="46" t="s">
        <v>134</v>
      </c>
      <c r="C53" s="313">
        <v>-430.75</v>
      </c>
      <c r="D53" s="100"/>
      <c r="E53" s="41">
        <f t="shared" si="19"/>
        <v>227.79</v>
      </c>
      <c r="F53" s="41">
        <f t="shared" ref="F53:M53" si="22">ROUND((E45+E53+F38/2)*F$48,2)</f>
        <v>209.51</v>
      </c>
      <c r="G53" s="108">
        <f t="shared" si="22"/>
        <v>183.29</v>
      </c>
      <c r="H53" s="40">
        <f t="shared" si="22"/>
        <v>157.59</v>
      </c>
      <c r="I53" s="120">
        <f t="shared" si="22"/>
        <v>137.13</v>
      </c>
      <c r="J53" s="49">
        <f t="shared" si="22"/>
        <v>120.24</v>
      </c>
      <c r="K53" s="159">
        <f t="shared" si="22"/>
        <v>103.84</v>
      </c>
      <c r="L53" s="108">
        <f t="shared" si="22"/>
        <v>86.52</v>
      </c>
      <c r="M53" s="61">
        <f t="shared" si="22"/>
        <v>0</v>
      </c>
      <c r="P53" s="186">
        <f t="shared" si="18"/>
        <v>-190.36</v>
      </c>
    </row>
    <row r="54" spans="1:16" ht="15" thickBot="1" x14ac:dyDescent="0.4">
      <c r="A54" s="46" t="s">
        <v>135</v>
      </c>
      <c r="C54" s="313">
        <v>-1164.1599999999999</v>
      </c>
      <c r="D54" s="100"/>
      <c r="E54" s="41">
        <f t="shared" si="19"/>
        <v>582.5</v>
      </c>
      <c r="F54" s="41">
        <f t="shared" ref="F54:M54" si="23">ROUND((E46+E54+F39/2)*F$48,2)</f>
        <v>593.69000000000005</v>
      </c>
      <c r="G54" s="108">
        <f t="shared" si="23"/>
        <v>589.66999999999996</v>
      </c>
      <c r="H54" s="40">
        <f t="shared" si="23"/>
        <v>586.38</v>
      </c>
      <c r="I54" s="120">
        <f t="shared" si="23"/>
        <v>586.92999999999995</v>
      </c>
      <c r="J54" s="49">
        <f t="shared" si="23"/>
        <v>587.92999999999995</v>
      </c>
      <c r="K54" s="159">
        <f t="shared" si="23"/>
        <v>589.51</v>
      </c>
      <c r="L54" s="108">
        <f t="shared" si="23"/>
        <v>590.86</v>
      </c>
      <c r="M54" s="61">
        <f t="shared" si="23"/>
        <v>0</v>
      </c>
      <c r="P54" s="186">
        <f t="shared" si="18"/>
        <v>-1180.3699999999999</v>
      </c>
    </row>
    <row r="55" spans="1:16" ht="15.5" thickTop="1" thickBot="1" x14ac:dyDescent="0.4">
      <c r="A55" s="54" t="s">
        <v>22</v>
      </c>
      <c r="B55" s="54"/>
      <c r="C55" s="107">
        <v>0</v>
      </c>
      <c r="D55" s="107"/>
      <c r="E55" s="42">
        <f t="shared" ref="E55:J55" si="24">SUM(E50:E54)+SUM(E42:E46)-E58</f>
        <v>0</v>
      </c>
      <c r="F55" s="42">
        <f t="shared" si="24"/>
        <v>-9.0949470177292824E-12</v>
      </c>
      <c r="G55" s="50">
        <f t="shared" ref="G55:I55" si="25">SUM(G50:G54)+SUM(G42:G46)-G58</f>
        <v>0</v>
      </c>
      <c r="H55" s="143">
        <f t="shared" si="25"/>
        <v>0</v>
      </c>
      <c r="I55" s="50">
        <f t="shared" si="25"/>
        <v>-3.2741809263825417E-11</v>
      </c>
      <c r="J55" s="62">
        <f t="shared" si="24"/>
        <v>-3.8198777474462986E-11</v>
      </c>
      <c r="K55" s="160">
        <f t="shared" ref="K55:M55" si="26">SUM(K50:K54)+SUM(K42:K46)-K58</f>
        <v>-5.0931703299283981E-11</v>
      </c>
      <c r="L55" s="50">
        <f t="shared" si="26"/>
        <v>-2.9103830456733704E-11</v>
      </c>
      <c r="M55" s="62">
        <f t="shared" si="26"/>
        <v>-3.2741809263825417E-11</v>
      </c>
    </row>
    <row r="56" spans="1:16" ht="15.5" thickTop="1" thickBot="1" x14ac:dyDescent="0.4">
      <c r="A56" s="54" t="s">
        <v>23</v>
      </c>
      <c r="B56" s="54"/>
      <c r="C56" s="107">
        <v>0</v>
      </c>
      <c r="D56" s="107"/>
      <c r="E56" s="42">
        <f t="shared" ref="E56:J56" si="27">SUM(E50:E54)-E32</f>
        <v>0</v>
      </c>
      <c r="F56" s="42">
        <f t="shared" si="27"/>
        <v>2.8421709430404007E-13</v>
      </c>
      <c r="G56" s="50">
        <f t="shared" ref="G56:I56" si="28">SUM(G50:G54)-G32</f>
        <v>9.9999999998203748E-3</v>
      </c>
      <c r="H56" s="143">
        <f t="shared" si="28"/>
        <v>5.6843418860808015E-14</v>
      </c>
      <c r="I56" s="50">
        <f t="shared" si="28"/>
        <v>1.0000000000047748E-2</v>
      </c>
      <c r="J56" s="62">
        <f t="shared" si="27"/>
        <v>5.6843418860808015E-14</v>
      </c>
      <c r="K56" s="161">
        <f t="shared" ref="K56:M56" si="29">SUM(K50:K54)-K32</f>
        <v>-1.1368683772161603E-13</v>
      </c>
      <c r="L56" s="42">
        <f t="shared" si="29"/>
        <v>-1.0000000000061959E-2</v>
      </c>
      <c r="M56" s="42">
        <f t="shared" si="29"/>
        <v>0</v>
      </c>
    </row>
    <row r="57" spans="1:16" ht="15.5" thickTop="1" thickBot="1" x14ac:dyDescent="0.4">
      <c r="C57" s="99"/>
      <c r="D57" s="99"/>
      <c r="E57" s="17"/>
      <c r="F57" s="17"/>
      <c r="G57" s="17"/>
      <c r="H57" s="10"/>
      <c r="I57" s="17"/>
      <c r="J57" s="11"/>
      <c r="K57" s="17"/>
      <c r="L57" s="17"/>
      <c r="M57" s="11"/>
    </row>
    <row r="58" spans="1:16" ht="15" thickBot="1" x14ac:dyDescent="0.4">
      <c r="A58" s="46" t="s">
        <v>35</v>
      </c>
      <c r="B58" s="116">
        <f>SUM(B42:B46)</f>
        <v>5087.1787999997614</v>
      </c>
      <c r="C58" s="100">
        <f t="shared" ref="C58:M58" si="30">(C16-SUM(C19:C23))+SUM(C50:C54)+B58</f>
        <v>18739.869999999763</v>
      </c>
      <c r="D58" s="100"/>
      <c r="E58" s="41">
        <f>(E16-SUM(E19:E23))+SUM(D50:E54)+C58</f>
        <v>9910.3699999997625</v>
      </c>
      <c r="F58" s="41">
        <f t="shared" si="30"/>
        <v>2415.3999999997641</v>
      </c>
      <c r="G58" s="108">
        <f t="shared" si="30"/>
        <v>-3488.0500000002357</v>
      </c>
      <c r="H58" s="40">
        <f t="shared" si="30"/>
        <v>-6196.4300000002349</v>
      </c>
      <c r="I58" s="41">
        <f t="shared" si="30"/>
        <v>-8264.4800000002342</v>
      </c>
      <c r="J58" s="61">
        <f t="shared" si="30"/>
        <v>-10650.580000000233</v>
      </c>
      <c r="K58" s="159">
        <f t="shared" si="30"/>
        <v>-13256.082380000233</v>
      </c>
      <c r="L58" s="108">
        <f t="shared" si="30"/>
        <v>-14529.756350000231</v>
      </c>
      <c r="M58" s="61">
        <f t="shared" si="30"/>
        <v>-8409.2406300002294</v>
      </c>
    </row>
    <row r="59" spans="1:16" x14ac:dyDescent="0.35">
      <c r="A59" s="46" t="s">
        <v>12</v>
      </c>
      <c r="C59" s="117"/>
      <c r="D59" s="17"/>
      <c r="E59" s="17"/>
      <c r="F59" s="17"/>
      <c r="G59" s="17"/>
      <c r="H59" s="10"/>
      <c r="I59" s="17"/>
      <c r="J59" s="11"/>
      <c r="K59" s="17"/>
      <c r="L59" s="17"/>
      <c r="M59" s="11"/>
    </row>
    <row r="60" spans="1:16" ht="15" thickBot="1" x14ac:dyDescent="0.4">
      <c r="A60" s="37"/>
      <c r="B60" s="37"/>
      <c r="C60" s="144"/>
      <c r="D60" s="266"/>
      <c r="E60" s="44"/>
      <c r="F60" s="44"/>
      <c r="G60" s="44"/>
      <c r="H60" s="43"/>
      <c r="I60" s="44"/>
      <c r="J60" s="45"/>
      <c r="K60" s="44"/>
      <c r="L60" s="44"/>
      <c r="M60" s="45"/>
    </row>
    <row r="62" spans="1:16" x14ac:dyDescent="0.35">
      <c r="A62" s="69" t="s">
        <v>11</v>
      </c>
      <c r="B62" s="69"/>
      <c r="C62" s="69"/>
      <c r="D62" s="69"/>
    </row>
    <row r="63" spans="1:16" ht="31.5" customHeight="1" x14ac:dyDescent="0.35">
      <c r="A63" s="350" t="s">
        <v>157</v>
      </c>
      <c r="B63" s="350"/>
      <c r="C63" s="350"/>
      <c r="D63" s="350"/>
      <c r="E63" s="350"/>
      <c r="F63" s="350"/>
      <c r="G63" s="350"/>
      <c r="H63" s="350"/>
      <c r="I63" s="350"/>
      <c r="J63" s="350"/>
      <c r="K63" s="232"/>
      <c r="L63" s="232"/>
      <c r="M63" s="232"/>
    </row>
    <row r="64" spans="1:16" ht="63" customHeight="1" x14ac:dyDescent="0.35">
      <c r="A64" s="350" t="s">
        <v>298</v>
      </c>
      <c r="B64" s="350"/>
      <c r="C64" s="356"/>
      <c r="D64" s="356"/>
      <c r="E64" s="356"/>
      <c r="F64" s="356"/>
      <c r="G64" s="356"/>
      <c r="H64" s="356"/>
      <c r="I64" s="356"/>
      <c r="J64" s="356"/>
      <c r="K64" s="356"/>
      <c r="L64" s="232"/>
    </row>
    <row r="65" spans="1:13" ht="18.75" customHeight="1" x14ac:dyDescent="0.35">
      <c r="A65" s="350" t="s">
        <v>183</v>
      </c>
      <c r="B65" s="350"/>
      <c r="C65" s="350"/>
      <c r="D65" s="350"/>
      <c r="E65" s="350"/>
      <c r="F65" s="350"/>
      <c r="G65" s="350"/>
      <c r="H65" s="350"/>
      <c r="I65" s="350"/>
      <c r="J65" s="350"/>
      <c r="K65" s="232"/>
      <c r="L65" s="232"/>
      <c r="M65" s="232"/>
    </row>
    <row r="66" spans="1:13" x14ac:dyDescent="0.35">
      <c r="A66" s="350" t="s">
        <v>303</v>
      </c>
      <c r="B66" s="350"/>
      <c r="C66" s="356"/>
      <c r="D66" s="356"/>
      <c r="E66" s="356"/>
      <c r="F66" s="356"/>
      <c r="G66" s="356"/>
      <c r="H66" s="356"/>
      <c r="I66" s="356"/>
      <c r="J66" s="356"/>
    </row>
    <row r="67" spans="1:13" x14ac:dyDescent="0.35">
      <c r="A67" s="63" t="s">
        <v>284</v>
      </c>
      <c r="B67" s="63"/>
      <c r="C67" s="63"/>
      <c r="D67" s="63"/>
      <c r="E67" s="39"/>
      <c r="F67" s="39"/>
      <c r="G67" s="39"/>
      <c r="H67" s="39"/>
      <c r="I67" s="39"/>
      <c r="J67" s="39"/>
    </row>
    <row r="68" spans="1:13" x14ac:dyDescent="0.35">
      <c r="A68" s="63" t="s">
        <v>92</v>
      </c>
      <c r="B68" s="63"/>
      <c r="C68" s="63"/>
      <c r="D68" s="63"/>
      <c r="E68" s="39"/>
      <c r="F68" s="39"/>
      <c r="G68" s="39"/>
      <c r="H68" s="39"/>
      <c r="I68" s="39"/>
      <c r="J68" s="39"/>
    </row>
    <row r="69" spans="1:13" x14ac:dyDescent="0.35">
      <c r="A69" s="3" t="s">
        <v>181</v>
      </c>
      <c r="B69" s="3"/>
      <c r="C69" s="3"/>
      <c r="D69" s="3"/>
    </row>
    <row r="71" spans="1:13" ht="36" customHeight="1" x14ac:dyDescent="0.35">
      <c r="A71" s="346"/>
      <c r="B71" s="346"/>
      <c r="C71" s="346"/>
      <c r="D71" s="346"/>
      <c r="E71" s="346"/>
      <c r="F71" s="346"/>
      <c r="G71" s="346"/>
    </row>
  </sheetData>
  <mergeCells count="8">
    <mergeCell ref="A71:G71"/>
    <mergeCell ref="A65:J65"/>
    <mergeCell ref="E14:G14"/>
    <mergeCell ref="H14:J14"/>
    <mergeCell ref="K14:M14"/>
    <mergeCell ref="A63:J63"/>
    <mergeCell ref="A64:K64"/>
    <mergeCell ref="A66:J66"/>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zoomScale="85" zoomScaleNormal="85" workbookViewId="0">
      <selection activeCell="E2" sqref="E2"/>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2.453125" style="46" hidden="1" customWidth="1" outlineLevel="1"/>
    <col min="5" max="5" width="15.453125" style="46" customWidth="1" collapsed="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customWidth="1" outlineLevel="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06/01/2024</v>
      </c>
      <c r="B1" s="3"/>
      <c r="C1" s="3"/>
      <c r="D1" s="3"/>
    </row>
    <row r="2" spans="1:35" x14ac:dyDescent="0.35">
      <c r="E2" s="3" t="s">
        <v>166</v>
      </c>
    </row>
    <row r="3" spans="1:35" ht="29" x14ac:dyDescent="0.35">
      <c r="E3" s="48" t="s">
        <v>45</v>
      </c>
      <c r="F3" s="70" t="s">
        <v>57</v>
      </c>
      <c r="G3" s="48" t="s">
        <v>3</v>
      </c>
      <c r="H3" s="70" t="s">
        <v>54</v>
      </c>
      <c r="I3" s="48" t="s">
        <v>10</v>
      </c>
      <c r="J3" s="48" t="s">
        <v>58</v>
      </c>
      <c r="S3" s="48"/>
    </row>
    <row r="4" spans="1:35" x14ac:dyDescent="0.35">
      <c r="A4" s="20" t="s">
        <v>24</v>
      </c>
      <c r="B4" s="20"/>
      <c r="C4" s="20"/>
      <c r="D4" s="20"/>
      <c r="E4" s="22">
        <f>SUM(C16:M16)</f>
        <v>584168.97772000008</v>
      </c>
      <c r="F4" s="22">
        <f>SUM(C23:L23)</f>
        <v>763391.49</v>
      </c>
      <c r="G4" s="22">
        <f>F4-E4</f>
        <v>179222.51227999991</v>
      </c>
      <c r="H4" s="22">
        <f>+B39</f>
        <v>65140.025200000047</v>
      </c>
      <c r="I4" s="22">
        <f>SUM(C47:L47)</f>
        <v>8651.35</v>
      </c>
      <c r="J4" s="25">
        <f>SUM(G4:I4)</f>
        <v>253013.88747999995</v>
      </c>
      <c r="K4" s="47">
        <f>+J4-M39</f>
        <v>0</v>
      </c>
      <c r="N4" s="47"/>
    </row>
    <row r="5" spans="1:35" x14ac:dyDescent="0.35">
      <c r="A5" s="20" t="s">
        <v>104</v>
      </c>
      <c r="B5" s="20"/>
      <c r="C5" s="20"/>
      <c r="D5" s="20"/>
      <c r="E5" s="22">
        <f t="shared" ref="E5:E8" si="0">SUM(C17:M17)</f>
        <v>90557.849350000004</v>
      </c>
      <c r="F5" s="22">
        <f t="shared" ref="F5:F8" si="1">SUM(C24:L24)</f>
        <v>95850.420000000013</v>
      </c>
      <c r="G5" s="22">
        <f t="shared" ref="G5:G8" si="2">F5-E5</f>
        <v>5292.5706500000088</v>
      </c>
      <c r="H5" s="22">
        <f t="shared" ref="H5:H8" si="3">+B40</f>
        <v>5313.5646399999896</v>
      </c>
      <c r="I5" s="22">
        <f t="shared" ref="I5:I8" si="4">SUM(C48:L48)</f>
        <v>679.08999999999992</v>
      </c>
      <c r="J5" s="25">
        <f t="shared" ref="J5:J8" si="5">SUM(G5:I5)</f>
        <v>11285.225289999998</v>
      </c>
      <c r="K5" s="47">
        <f>+J5-M40</f>
        <v>0</v>
      </c>
      <c r="N5" s="47"/>
    </row>
    <row r="6" spans="1:35" x14ac:dyDescent="0.35">
      <c r="A6" s="20" t="s">
        <v>105</v>
      </c>
      <c r="B6" s="20"/>
      <c r="C6" s="20"/>
      <c r="D6" s="20"/>
      <c r="E6" s="22">
        <f t="shared" si="0"/>
        <v>164819.32376</v>
      </c>
      <c r="F6" s="22">
        <f t="shared" si="1"/>
        <v>183344.47999999998</v>
      </c>
      <c r="G6" s="22">
        <f t="shared" si="2"/>
        <v>18525.156239999982</v>
      </c>
      <c r="H6" s="22">
        <f t="shared" si="3"/>
        <v>33477.375710000029</v>
      </c>
      <c r="I6" s="22">
        <f t="shared" si="4"/>
        <v>2288.9900000000002</v>
      </c>
      <c r="J6" s="25">
        <f t="shared" si="5"/>
        <v>54291.521950000009</v>
      </c>
      <c r="K6" s="47">
        <f>+J6-M41</f>
        <v>0</v>
      </c>
      <c r="N6" s="47"/>
    </row>
    <row r="7" spans="1:35" x14ac:dyDescent="0.35">
      <c r="A7" s="20" t="s">
        <v>106</v>
      </c>
      <c r="B7" s="20"/>
      <c r="C7" s="20"/>
      <c r="D7" s="20"/>
      <c r="E7" s="22">
        <f t="shared" si="0"/>
        <v>342307.44303999998</v>
      </c>
      <c r="F7" s="22">
        <f t="shared" si="1"/>
        <v>434456.44999999995</v>
      </c>
      <c r="G7" s="22">
        <f t="shared" si="2"/>
        <v>92149.00695999997</v>
      </c>
      <c r="H7" s="22">
        <f t="shared" si="3"/>
        <v>35656.850640000062</v>
      </c>
      <c r="I7" s="22">
        <f t="shared" si="4"/>
        <v>4405.9299999999994</v>
      </c>
      <c r="J7" s="25">
        <f t="shared" si="5"/>
        <v>132211.78760000004</v>
      </c>
      <c r="K7" s="47">
        <f>+J7-M42</f>
        <v>0</v>
      </c>
      <c r="N7" s="47"/>
    </row>
    <row r="8" spans="1:35" ht="15" thickBot="1" x14ac:dyDescent="0.4">
      <c r="A8" s="20" t="s">
        <v>107</v>
      </c>
      <c r="B8" s="20"/>
      <c r="C8" s="20"/>
      <c r="D8" s="20"/>
      <c r="E8" s="22">
        <f t="shared" si="0"/>
        <v>51849.003949999998</v>
      </c>
      <c r="F8" s="22">
        <f t="shared" si="1"/>
        <v>59846.359999999993</v>
      </c>
      <c r="G8" s="22">
        <f t="shared" si="2"/>
        <v>7997.3560499999949</v>
      </c>
      <c r="H8" s="22">
        <f t="shared" si="3"/>
        <v>2714.1859599999993</v>
      </c>
      <c r="I8" s="22">
        <f t="shared" si="4"/>
        <v>436.03</v>
      </c>
      <c r="J8" s="25">
        <f t="shared" si="5"/>
        <v>11147.572009999994</v>
      </c>
      <c r="K8" s="47">
        <f>+J8-M43</f>
        <v>0</v>
      </c>
      <c r="N8" s="47"/>
    </row>
    <row r="9" spans="1:35" ht="15.5" thickTop="1" thickBot="1" x14ac:dyDescent="0.4">
      <c r="E9" s="27">
        <f t="shared" ref="E9:J9" si="6">SUM(E4:E8)</f>
        <v>1233702.5978200003</v>
      </c>
      <c r="F9" s="27">
        <f t="shared" si="6"/>
        <v>1536889.2</v>
      </c>
      <c r="G9" s="27">
        <f t="shared" si="6"/>
        <v>303186.60217999987</v>
      </c>
      <c r="H9" s="27">
        <f t="shared" si="6"/>
        <v>142302.0021500001</v>
      </c>
      <c r="I9" s="27">
        <f t="shared" si="6"/>
        <v>16461.39</v>
      </c>
      <c r="J9" s="27">
        <f t="shared" si="6"/>
        <v>461949.99433000002</v>
      </c>
      <c r="T9" s="5"/>
    </row>
    <row r="10" spans="1:35" ht="15.5" thickTop="1" thickBot="1" x14ac:dyDescent="0.4">
      <c r="V10" s="4"/>
      <c r="W10" s="5"/>
    </row>
    <row r="11" spans="1:35" ht="116.5" thickBot="1" x14ac:dyDescent="0.4">
      <c r="B11" s="115" t="str">
        <f>+'PCR Cycle 2'!B14</f>
        <v>Cumulative Over/Under Carryover From 12/01/2023 Filing</v>
      </c>
      <c r="C11" s="267" t="str">
        <f>+'PCR Cycle 2'!C14</f>
        <v>Reverse November 2023 - January 2024 Forecast From 12/01/2023 Filing</v>
      </c>
      <c r="D11" s="267"/>
      <c r="E11" s="351" t="s">
        <v>32</v>
      </c>
      <c r="F11" s="351"/>
      <c r="G11" s="352"/>
      <c r="H11" s="358" t="s">
        <v>32</v>
      </c>
      <c r="I11" s="359"/>
      <c r="J11" s="360"/>
      <c r="K11" s="347" t="s">
        <v>8</v>
      </c>
      <c r="L11" s="348"/>
      <c r="M11" s="349"/>
      <c r="P11" s="290" t="s">
        <v>237</v>
      </c>
    </row>
    <row r="12" spans="1:35" x14ac:dyDescent="0.35">
      <c r="A12" s="46" t="s">
        <v>84</v>
      </c>
      <c r="C12" s="105"/>
      <c r="D12" s="265"/>
      <c r="E12" s="19">
        <f>+'PCR Cycle 2'!E15</f>
        <v>45260</v>
      </c>
      <c r="F12" s="19">
        <f t="shared" ref="F12:M12" si="7">EOMONTH(E12,1)</f>
        <v>45291</v>
      </c>
      <c r="G12" s="19">
        <f t="shared" si="7"/>
        <v>45322</v>
      </c>
      <c r="H12" s="14">
        <f t="shared" si="7"/>
        <v>45351</v>
      </c>
      <c r="I12" s="19">
        <f t="shared" si="7"/>
        <v>45382</v>
      </c>
      <c r="J12" s="15">
        <f t="shared" si="7"/>
        <v>45412</v>
      </c>
      <c r="K12" s="19">
        <f t="shared" si="7"/>
        <v>45443</v>
      </c>
      <c r="L12" s="19">
        <f t="shared" si="7"/>
        <v>45473</v>
      </c>
      <c r="M12" s="15">
        <f t="shared" si="7"/>
        <v>45504</v>
      </c>
      <c r="P12" s="186"/>
      <c r="Z12" s="1"/>
      <c r="AA12" s="1"/>
      <c r="AB12" s="1"/>
      <c r="AC12" s="1"/>
      <c r="AD12" s="1"/>
      <c r="AE12" s="1"/>
      <c r="AF12" s="1"/>
      <c r="AG12" s="1"/>
      <c r="AH12" s="1"/>
      <c r="AI12" s="1"/>
    </row>
    <row r="13" spans="1:35" x14ac:dyDescent="0.35">
      <c r="A13" s="46" t="s">
        <v>5</v>
      </c>
      <c r="C13" s="97">
        <v>-270939.8</v>
      </c>
      <c r="D13" s="97"/>
      <c r="E13" s="109">
        <f t="shared" ref="E13:L13" si="8">SUM(E23:E27)</f>
        <v>135469.9</v>
      </c>
      <c r="F13" s="109">
        <f t="shared" si="8"/>
        <v>135469.9</v>
      </c>
      <c r="G13" s="110">
        <f t="shared" si="8"/>
        <v>135469.9</v>
      </c>
      <c r="H13" s="16">
        <f t="shared" si="8"/>
        <v>280283.86</v>
      </c>
      <c r="I13" s="55">
        <f t="shared" si="8"/>
        <v>280283.86</v>
      </c>
      <c r="J13" s="162">
        <f t="shared" si="8"/>
        <v>280283.86</v>
      </c>
      <c r="K13" s="155">
        <f t="shared" si="8"/>
        <v>280283.86</v>
      </c>
      <c r="L13" s="78">
        <f t="shared" si="8"/>
        <v>280283.86</v>
      </c>
      <c r="M13" s="79"/>
      <c r="P13" s="186">
        <f>-SUM(K13:M13)</f>
        <v>-560567.72</v>
      </c>
    </row>
    <row r="14" spans="1:35" x14ac:dyDescent="0.35">
      <c r="C14" s="99"/>
      <c r="D14" s="99"/>
      <c r="E14" s="17"/>
      <c r="F14" s="17"/>
      <c r="G14" s="17"/>
      <c r="H14" s="10"/>
      <c r="I14" s="17"/>
      <c r="J14" s="11"/>
      <c r="K14" s="31"/>
      <c r="L14" s="31"/>
      <c r="M14" s="29"/>
      <c r="P14" s="186"/>
    </row>
    <row r="15" spans="1:35" x14ac:dyDescent="0.35">
      <c r="A15" s="46" t="s">
        <v>85</v>
      </c>
      <c r="C15" s="99"/>
      <c r="D15" s="99"/>
      <c r="E15" s="18"/>
      <c r="F15" s="18"/>
      <c r="G15" s="18"/>
      <c r="H15" s="91"/>
      <c r="I15" s="18"/>
      <c r="J15" s="163"/>
      <c r="K15" s="31"/>
      <c r="L15" s="31"/>
      <c r="M15" s="29"/>
      <c r="N15" s="3" t="s">
        <v>49</v>
      </c>
      <c r="O15" s="39"/>
      <c r="P15" s="186"/>
    </row>
    <row r="16" spans="1:35" x14ac:dyDescent="0.35">
      <c r="A16" s="46" t="s">
        <v>24</v>
      </c>
      <c r="C16" s="97">
        <v>-202821.66479999997</v>
      </c>
      <c r="D16" s="97"/>
      <c r="E16" s="132">
        <f>'[4]November 2023'!$G120</f>
        <v>46571.07</v>
      </c>
      <c r="F16" s="132">
        <f>'[4]December 2023'!$G120</f>
        <v>60611.040000000001</v>
      </c>
      <c r="G16" s="132">
        <f>'[4]January 2024'!$G120</f>
        <v>77129.149999999994</v>
      </c>
      <c r="H16" s="183">
        <f>'[4]February 2024'!$G120</f>
        <v>90280.81</v>
      </c>
      <c r="I16" s="118">
        <f>'[4]March 2024'!$G120</f>
        <v>88851.7</v>
      </c>
      <c r="J16" s="164">
        <f>'[4]April 2024'!$G120</f>
        <v>81720.53</v>
      </c>
      <c r="K16" s="120">
        <f>'PCR Cycle 2'!K27*$N16</f>
        <v>81716.068200000009</v>
      </c>
      <c r="L16" s="41">
        <f>'PCR Cycle 2'!L27*$N16</f>
        <v>105366.75916000002</v>
      </c>
      <c r="M16" s="61">
        <f>'PCR Cycle 2'!M27*$N16</f>
        <v>154743.51516000001</v>
      </c>
      <c r="N16" s="72">
        <v>5.2000000000000006E-4</v>
      </c>
      <c r="O16" s="4"/>
      <c r="P16" s="186">
        <f t="shared" ref="P16:P20" si="9">-SUM(K16:M16)</f>
        <v>-341826.34252000006</v>
      </c>
    </row>
    <row r="17" spans="1:16" x14ac:dyDescent="0.35">
      <c r="A17" s="46" t="s">
        <v>132</v>
      </c>
      <c r="C17" s="97">
        <v>-17784.165359999999</v>
      </c>
      <c r="D17" s="97"/>
      <c r="E17" s="132">
        <f>'[4]November 2023'!$G121</f>
        <v>5348.08</v>
      </c>
      <c r="F17" s="132">
        <f>'[4]December 2023'!$G121</f>
        <v>6215.26</v>
      </c>
      <c r="G17" s="132">
        <f>'[4]January 2024'!$G121</f>
        <v>7245.58</v>
      </c>
      <c r="H17" s="183">
        <f>'[4]February 2024'!$G121</f>
        <v>10296.36</v>
      </c>
      <c r="I17" s="118">
        <f>'[4]March 2024'!$G121</f>
        <v>14766.12</v>
      </c>
      <c r="J17" s="164">
        <f>'[4]April 2024'!$G121</f>
        <v>14006.57</v>
      </c>
      <c r="K17" s="120">
        <f>'PCR Cycle 2'!K28*$N17</f>
        <v>15117.041499999999</v>
      </c>
      <c r="L17" s="41">
        <f>'PCR Cycle 2'!L28*$N17</f>
        <v>16658.25517</v>
      </c>
      <c r="M17" s="61">
        <f>'PCR Cycle 2'!M28*$N17</f>
        <v>18688.748039999999</v>
      </c>
      <c r="N17" s="72">
        <v>3.1E-4</v>
      </c>
      <c r="O17" s="4"/>
      <c r="P17" s="186">
        <f t="shared" si="9"/>
        <v>-50464.044710000002</v>
      </c>
    </row>
    <row r="18" spans="1:16" x14ac:dyDescent="0.35">
      <c r="A18" s="46" t="s">
        <v>133</v>
      </c>
      <c r="C18" s="97">
        <v>-46326.944289999999</v>
      </c>
      <c r="D18" s="97"/>
      <c r="E18" s="132">
        <f>'[4]November 2023'!$G122</f>
        <v>13369.5</v>
      </c>
      <c r="F18" s="132">
        <f>'[4]December 2023'!$G122</f>
        <v>14778.75</v>
      </c>
      <c r="G18" s="132">
        <f>'[4]January 2024'!$G122</f>
        <v>16504.72</v>
      </c>
      <c r="H18" s="183">
        <f>'[4]February 2024'!$G122</f>
        <v>20570.609999999997</v>
      </c>
      <c r="I18" s="118">
        <f>'[4]March 2024'!$G122</f>
        <v>26288.3</v>
      </c>
      <c r="J18" s="164">
        <f>'[4]April 2024'!$G122</f>
        <v>25176.81</v>
      </c>
      <c r="K18" s="120">
        <f>'PCR Cycle 2'!K29*$N18</f>
        <v>28295.77245</v>
      </c>
      <c r="L18" s="41">
        <f>'PCR Cycle 2'!L29*$N18</f>
        <v>31180.58526</v>
      </c>
      <c r="M18" s="61">
        <f>'PCR Cycle 2'!M29*$N18</f>
        <v>34981.22034</v>
      </c>
      <c r="N18" s="72">
        <v>3.3E-4</v>
      </c>
      <c r="O18" s="4"/>
      <c r="P18" s="186">
        <f t="shared" si="9"/>
        <v>-94457.578049999996</v>
      </c>
    </row>
    <row r="19" spans="1:16" x14ac:dyDescent="0.35">
      <c r="A19" s="46" t="s">
        <v>134</v>
      </c>
      <c r="C19" s="97">
        <v>-136756.88936</v>
      </c>
      <c r="D19" s="97"/>
      <c r="E19" s="132">
        <f>'[4]November 2023'!$G123</f>
        <v>40781.949999999997</v>
      </c>
      <c r="F19" s="132">
        <f>'[4]December 2023'!$G123</f>
        <v>44888</v>
      </c>
      <c r="G19" s="132">
        <f>'[4]January 2024'!$G123</f>
        <v>48634.26</v>
      </c>
      <c r="H19" s="183">
        <f>'[4]February 2024'!$G123</f>
        <v>52435.44</v>
      </c>
      <c r="I19" s="118">
        <f>'[4]March 2024'!$G123</f>
        <v>56267.01</v>
      </c>
      <c r="J19" s="164">
        <f>'[4]April 2024'!$G123</f>
        <v>54049.77</v>
      </c>
      <c r="K19" s="120">
        <f>'PCR Cycle 2'!K30*$N19</f>
        <v>54522.403600000005</v>
      </c>
      <c r="L19" s="41">
        <f>'PCR Cycle 2'!L30*$N19</f>
        <v>60081.076000000001</v>
      </c>
      <c r="M19" s="61">
        <f>'PCR Cycle 2'!M30*$N19</f>
        <v>67404.4228</v>
      </c>
      <c r="N19" s="72">
        <v>4.0000000000000002E-4</v>
      </c>
      <c r="O19" s="4"/>
      <c r="P19" s="186">
        <f t="shared" si="9"/>
        <v>-182007.90240000002</v>
      </c>
    </row>
    <row r="20" spans="1:16" x14ac:dyDescent="0.35">
      <c r="A20" s="46" t="s">
        <v>135</v>
      </c>
      <c r="C20" s="97">
        <v>-14916.214040000003</v>
      </c>
      <c r="D20" s="97"/>
      <c r="E20" s="132">
        <f>'[4]November 2023'!$G124</f>
        <v>5184.12</v>
      </c>
      <c r="F20" s="132">
        <f>'[4]December 2023'!$G124</f>
        <v>5188.6899999999996</v>
      </c>
      <c r="G20" s="132">
        <f>'[4]January 2024'!$G124</f>
        <v>5421.38</v>
      </c>
      <c r="H20" s="183">
        <f>'[4]February 2024'!$G124</f>
        <v>6791.19</v>
      </c>
      <c r="I20" s="118">
        <f>'[4]March 2024'!$G124</f>
        <v>8200.33</v>
      </c>
      <c r="J20" s="164">
        <f>'[4]April 2024'!$G124</f>
        <v>8174.92</v>
      </c>
      <c r="K20" s="120">
        <f>'PCR Cycle 2'!K31*$N20</f>
        <v>8329.1602000000003</v>
      </c>
      <c r="L20" s="41">
        <f>'PCR Cycle 2'!L31*$N20</f>
        <v>9178.3353800000004</v>
      </c>
      <c r="M20" s="61">
        <f>'PCR Cycle 2'!M31*$N20</f>
        <v>10297.092410000001</v>
      </c>
      <c r="N20" s="72">
        <v>2.3000000000000001E-4</v>
      </c>
      <c r="O20" s="4"/>
      <c r="P20" s="186">
        <f t="shared" si="9"/>
        <v>-27804.587990000004</v>
      </c>
    </row>
    <row r="21" spans="1:16" x14ac:dyDescent="0.35">
      <c r="C21" s="67"/>
      <c r="D21" s="67"/>
      <c r="E21" s="68"/>
      <c r="F21" s="68"/>
      <c r="G21" s="68"/>
      <c r="H21" s="67"/>
      <c r="I21" s="68"/>
      <c r="J21" s="165"/>
      <c r="K21" s="56"/>
      <c r="L21" s="56"/>
      <c r="M21" s="13"/>
      <c r="O21" s="4"/>
    </row>
    <row r="22" spans="1:16" x14ac:dyDescent="0.35">
      <c r="A22" s="46" t="s">
        <v>86</v>
      </c>
      <c r="C22" s="36"/>
      <c r="D22" s="36"/>
      <c r="E22" s="37"/>
      <c r="F22" s="37"/>
      <c r="G22" s="37"/>
      <c r="H22" s="36"/>
      <c r="I22" s="37"/>
      <c r="J22" s="168"/>
      <c r="K22" s="52"/>
      <c r="L22" s="52"/>
      <c r="M22" s="38"/>
      <c r="O22" s="4"/>
    </row>
    <row r="23" spans="1:16" x14ac:dyDescent="0.35">
      <c r="A23" s="46" t="s">
        <v>24</v>
      </c>
      <c r="C23" s="97">
        <v>-134743.67999999999</v>
      </c>
      <c r="D23" s="97"/>
      <c r="E23" s="132">
        <f>ROUND(+'EO Cycle 3'!$F43/12+'EO Cycle 3'!$F55/12*0+'EO Cycle 3'!$F67/12+'EO Cycle 3'!$F79/12*0,2)</f>
        <v>67371.839999999997</v>
      </c>
      <c r="F23" s="132">
        <f>ROUND(+'EO Cycle 3'!$F43/12+'EO Cycle 3'!$F55/12*0+'EO Cycle 3'!$F67/12+'EO Cycle 3'!$F79/12*0,2)</f>
        <v>67371.839999999997</v>
      </c>
      <c r="G23" s="132">
        <f>ROUND(+'EO Cycle 3'!$F43/12+'EO Cycle 3'!$F55/12*0+'EO Cycle 3'!$F67/12+'EO Cycle 3'!$F79/12*0,2)</f>
        <v>67371.839999999997</v>
      </c>
      <c r="H23" s="183">
        <f>ROUND(+'EO Cycle 3'!$F55/12+'EO Cycle 3'!$F67/12+'EO Cycle 3'!$F79/12,2)</f>
        <v>139203.93</v>
      </c>
      <c r="I23" s="118">
        <f>ROUND(+'EO Cycle 3'!$F55/12+'EO Cycle 3'!$F67/12+'EO Cycle 3'!$F79/12,2)</f>
        <v>139203.93</v>
      </c>
      <c r="J23" s="164">
        <f>ROUND(+'EO Cycle 3'!$F55/12+'EO Cycle 3'!$F67/12+'EO Cycle 3'!$F79/12,2)</f>
        <v>139203.93</v>
      </c>
      <c r="K23" s="139">
        <f>ROUND(+'EO Cycle 3'!$F55/12+'EO Cycle 3'!$F67/12+'EO Cycle 3'!$F79/12,2)</f>
        <v>139203.93</v>
      </c>
      <c r="L23" s="139">
        <f>ROUND(+'EO Cycle 3'!$F55/12+'EO Cycle 3'!$F67/12+'EO Cycle 3'!$F79/12,2)</f>
        <v>139203.93</v>
      </c>
      <c r="M23" s="79"/>
      <c r="O23" s="4"/>
      <c r="P23" s="186">
        <f t="shared" ref="P23:P29" si="10">-SUM(K23:M23)</f>
        <v>-278407.86</v>
      </c>
    </row>
    <row r="24" spans="1:16" x14ac:dyDescent="0.35">
      <c r="A24" s="46" t="s">
        <v>132</v>
      </c>
      <c r="C24" s="97">
        <v>-11827.94</v>
      </c>
      <c r="D24" s="97"/>
      <c r="E24" s="132">
        <f>ROUND(+'EO Cycle 3'!$F47/12+'EO Cycle 3'!$F59/12*0+'EO Cycle 3'!$F71/12+'EO Cycle 3'!$F83/12*0,2)</f>
        <v>5913.97</v>
      </c>
      <c r="F24" s="132">
        <f>ROUND(+'EO Cycle 3'!$F47/12+'EO Cycle 3'!$F59/12*0+'EO Cycle 3'!$F71/12+'EO Cycle 3'!$F83/12*0,2)</f>
        <v>5913.97</v>
      </c>
      <c r="G24" s="132">
        <f>ROUND(+'EO Cycle 3'!$F47/12+'EO Cycle 3'!$F59/12*0+'EO Cycle 3'!$F71/12+'EO Cycle 3'!$F83/12*0,2)</f>
        <v>5913.97</v>
      </c>
      <c r="H24" s="183">
        <f>ROUND(+'EO Cycle 3'!$F59/12+'EO Cycle 3'!$F71/12+'EO Cycle 3'!$F83/12,2)</f>
        <v>17987.29</v>
      </c>
      <c r="I24" s="118">
        <f>ROUND(+'EO Cycle 3'!$F59/12+'EO Cycle 3'!$F71/12+'EO Cycle 3'!$F83/12,2)</f>
        <v>17987.29</v>
      </c>
      <c r="J24" s="164">
        <f>ROUND(+'EO Cycle 3'!$F59/12+'EO Cycle 3'!$F71/12+'EO Cycle 3'!$F83/12,2)</f>
        <v>17987.29</v>
      </c>
      <c r="K24" s="139">
        <f>ROUND(+'EO Cycle 3'!$F59/12+'EO Cycle 3'!$F71/12+'EO Cycle 3'!$F83/12,2)</f>
        <v>17987.29</v>
      </c>
      <c r="L24" s="139">
        <f>ROUND(+'EO Cycle 3'!$F59/12+'EO Cycle 3'!$F71/12+'EO Cycle 3'!$F83/12,2)</f>
        <v>17987.29</v>
      </c>
      <c r="M24" s="79"/>
      <c r="O24" s="4"/>
      <c r="P24" s="186">
        <f t="shared" si="10"/>
        <v>-35974.58</v>
      </c>
    </row>
    <row r="25" spans="1:16" x14ac:dyDescent="0.35">
      <c r="A25" s="46" t="s">
        <v>133</v>
      </c>
      <c r="C25" s="97">
        <v>-26231.56</v>
      </c>
      <c r="D25" s="97"/>
      <c r="E25" s="132">
        <f>ROUND(+'EO Cycle 3'!$F48/12+'EO Cycle 3'!$F60/12*0+'EO Cycle 3'!$F72/12+'EO Cycle 3'!$F84/12*0,2)</f>
        <v>13115.78</v>
      </c>
      <c r="F25" s="132">
        <f>ROUND(+'EO Cycle 3'!$F48/12+'EO Cycle 3'!$F60/12*0+'EO Cycle 3'!$F72/12+'EO Cycle 3'!$F84/12*0,2)</f>
        <v>13115.78</v>
      </c>
      <c r="G25" s="132">
        <f>ROUND(+'EO Cycle 3'!$F48/12+'EO Cycle 3'!$F60/12*0+'EO Cycle 3'!$F72/12+'EO Cycle 3'!$F84/12*0,2)</f>
        <v>13115.78</v>
      </c>
      <c r="H25" s="183">
        <f>ROUND(+'EO Cycle 3'!$F60/12+'EO Cycle 3'!$F72/12+'EO Cycle 3'!$F84/12,2)</f>
        <v>34045.74</v>
      </c>
      <c r="I25" s="118">
        <f>ROUND(+'EO Cycle 3'!$F60/12+'EO Cycle 3'!$F72/12+'EO Cycle 3'!$F84/12,2)</f>
        <v>34045.74</v>
      </c>
      <c r="J25" s="164">
        <f>ROUND(+'EO Cycle 3'!$F60/12+'EO Cycle 3'!$F72/12+'EO Cycle 3'!$F84/12,2)</f>
        <v>34045.74</v>
      </c>
      <c r="K25" s="139">
        <f>ROUND(+'EO Cycle 3'!$F60/12+'EO Cycle 3'!$F72/12+'EO Cycle 3'!$F84/12,2)</f>
        <v>34045.74</v>
      </c>
      <c r="L25" s="139">
        <f>ROUND(+'EO Cycle 3'!$F60/12+'EO Cycle 3'!$F72/12+'EO Cycle 3'!$F84/12,2)</f>
        <v>34045.74</v>
      </c>
      <c r="M25" s="79"/>
      <c r="O25" s="4"/>
      <c r="P25" s="186">
        <f t="shared" si="10"/>
        <v>-68091.48</v>
      </c>
    </row>
    <row r="26" spans="1:16" x14ac:dyDescent="0.35">
      <c r="A26" s="46" t="s">
        <v>134</v>
      </c>
      <c r="C26" s="97">
        <v>-89300.6</v>
      </c>
      <c r="D26" s="97"/>
      <c r="E26" s="132">
        <f>ROUND(+'EO Cycle 3'!$F49/12+'EO Cycle 3'!$F61/12*0+'EO Cycle 3'!$F73/12+'EO Cycle 3'!$F85/12*0,2)</f>
        <v>44650.3</v>
      </c>
      <c r="F26" s="132">
        <f>ROUND(+'EO Cycle 3'!$F49/12+'EO Cycle 3'!$F61/12*0+'EO Cycle 3'!$F73/12+'EO Cycle 3'!$F85/12*0,2)</f>
        <v>44650.3</v>
      </c>
      <c r="G26" s="132">
        <f>ROUND(+'EO Cycle 3'!$F49/12+'EO Cycle 3'!$F61/12*0+'EO Cycle 3'!$F73/12+'EO Cycle 3'!$F85/12*0,2)</f>
        <v>44650.3</v>
      </c>
      <c r="H26" s="183">
        <f>ROUND(+'EO Cycle 3'!$F61/12+'EO Cycle 3'!$F73/12+'EO Cycle 3'!$F85/12,2)</f>
        <v>77961.23</v>
      </c>
      <c r="I26" s="118">
        <f>ROUND(+'EO Cycle 3'!$F61/12+'EO Cycle 3'!$F73/12+'EO Cycle 3'!$F85/12,2)</f>
        <v>77961.23</v>
      </c>
      <c r="J26" s="164">
        <f>ROUND(+'EO Cycle 3'!$F61/12+'EO Cycle 3'!$F73/12+'EO Cycle 3'!$F85/12,2)</f>
        <v>77961.23</v>
      </c>
      <c r="K26" s="139">
        <f>ROUND(+'EO Cycle 3'!$F61/12+'EO Cycle 3'!$F73/12+'EO Cycle 3'!$F85/12,2)</f>
        <v>77961.23</v>
      </c>
      <c r="L26" s="139">
        <f>ROUND(+'EO Cycle 3'!$F61/12+'EO Cycle 3'!$F73/12+'EO Cycle 3'!$F85/12,2)</f>
        <v>77961.23</v>
      </c>
      <c r="M26" s="79"/>
      <c r="O26" s="4"/>
      <c r="P26" s="186">
        <f t="shared" si="10"/>
        <v>-155922.46</v>
      </c>
    </row>
    <row r="27" spans="1:16" x14ac:dyDescent="0.35">
      <c r="A27" s="46" t="s">
        <v>135</v>
      </c>
      <c r="C27" s="97">
        <v>-8836.02</v>
      </c>
      <c r="D27" s="97"/>
      <c r="E27" s="132">
        <f>ROUND(+'EO Cycle 3'!$F50/12+'EO Cycle 3'!$F62/12*0+'EO Cycle 3'!$F74/12+'EO Cycle 3'!$F86/12*0,2)</f>
        <v>4418.01</v>
      </c>
      <c r="F27" s="132">
        <f>ROUND(+'EO Cycle 3'!$F50/12+'EO Cycle 3'!$F62/12*0+'EO Cycle 3'!$F74/12+'EO Cycle 3'!$F86/12*0,2)</f>
        <v>4418.01</v>
      </c>
      <c r="G27" s="132">
        <f>ROUND(+'EO Cycle 3'!$F50/12+'EO Cycle 3'!$F62/12*0+'EO Cycle 3'!$F74/12+'EO Cycle 3'!$F86/12*0,2)</f>
        <v>4418.01</v>
      </c>
      <c r="H27" s="183">
        <f>ROUND(+'EO Cycle 3'!$F62/12+'EO Cycle 3'!$F74/12+'EO Cycle 3'!$F86/12,2)</f>
        <v>11085.67</v>
      </c>
      <c r="I27" s="118">
        <f>ROUND(+'EO Cycle 3'!$F62/12+'EO Cycle 3'!$F74/12+'EO Cycle 3'!$F86/12,2)</f>
        <v>11085.67</v>
      </c>
      <c r="J27" s="164">
        <f>ROUND(+'EO Cycle 3'!$F62/12+'EO Cycle 3'!$F74/12+'EO Cycle 3'!$F86/12,2)</f>
        <v>11085.67</v>
      </c>
      <c r="K27" s="139">
        <f>ROUND(+'EO Cycle 3'!$F62/12+'EO Cycle 3'!$F74/12+'EO Cycle 3'!$F86/12,2)</f>
        <v>11085.67</v>
      </c>
      <c r="L27" s="139">
        <f>ROUND(+'EO Cycle 3'!$F62/12+'EO Cycle 3'!$F74/12+'EO Cycle 3'!$F86/12,2)</f>
        <v>11085.67</v>
      </c>
      <c r="M27" s="79"/>
      <c r="O27" s="4"/>
      <c r="P27" s="186">
        <f t="shared" si="10"/>
        <v>-22171.34</v>
      </c>
    </row>
    <row r="28" spans="1:16" x14ac:dyDescent="0.35">
      <c r="C28" s="36"/>
      <c r="D28" s="36"/>
      <c r="E28" s="37"/>
      <c r="F28" s="37"/>
      <c r="G28" s="37"/>
      <c r="H28" s="36"/>
      <c r="I28" s="37"/>
      <c r="J28" s="168"/>
      <c r="K28" s="52"/>
      <c r="L28" s="52"/>
      <c r="M28" s="13"/>
    </row>
    <row r="29" spans="1:16" ht="15" thickBot="1" x14ac:dyDescent="0.4">
      <c r="A29" s="3" t="s">
        <v>14</v>
      </c>
      <c r="B29" s="3"/>
      <c r="C29" s="103">
        <v>-3203.02</v>
      </c>
      <c r="D29" s="103"/>
      <c r="E29" s="132">
        <f>1624.28-22.25</f>
        <v>1602.03</v>
      </c>
      <c r="F29" s="132">
        <f>1747.4-22.88</f>
        <v>1724.52</v>
      </c>
      <c r="G29" s="133">
        <f>1709.21-22.94</f>
        <v>1686.27</v>
      </c>
      <c r="H29" s="26">
        <f>1933.82-23.02</f>
        <v>1910.8</v>
      </c>
      <c r="I29" s="119">
        <f>2452.6-23.17</f>
        <v>2429.4299999999998</v>
      </c>
      <c r="J29" s="169">
        <f>2962.59-23.25</f>
        <v>2939.34</v>
      </c>
      <c r="K29" s="158">
        <f>ROUND((SUM(J39:J43)+SUM(J47:J51)+SUM(K32:K36)/2)*K$45,2)</f>
        <v>3471.9</v>
      </c>
      <c r="L29" s="141">
        <f>ROUND((SUM(K39:K43)+SUM(K47:K51)+SUM(L32:L36)/2)*L$45,2)</f>
        <v>3900.12</v>
      </c>
      <c r="M29" s="82"/>
      <c r="P29" s="186">
        <f t="shared" si="10"/>
        <v>-7372.02</v>
      </c>
    </row>
    <row r="30" spans="1:16" x14ac:dyDescent="0.35">
      <c r="C30" s="64"/>
      <c r="D30" s="64"/>
      <c r="E30" s="145"/>
      <c r="F30" s="145"/>
      <c r="G30" s="146"/>
      <c r="H30" s="64"/>
      <c r="I30" s="33"/>
      <c r="J30" s="170"/>
      <c r="K30" s="34"/>
      <c r="L30" s="34"/>
      <c r="M30" s="60"/>
    </row>
    <row r="31" spans="1:16" x14ac:dyDescent="0.35">
      <c r="A31" s="46" t="s">
        <v>51</v>
      </c>
      <c r="C31" s="65"/>
      <c r="D31" s="65"/>
      <c r="E31" s="146"/>
      <c r="F31" s="146"/>
      <c r="G31" s="146"/>
      <c r="H31" s="65"/>
      <c r="I31" s="35"/>
      <c r="J31" s="171"/>
      <c r="K31" s="34"/>
      <c r="L31" s="34"/>
      <c r="M31" s="60"/>
    </row>
    <row r="32" spans="1:16" x14ac:dyDescent="0.35">
      <c r="A32" s="46" t="s">
        <v>24</v>
      </c>
      <c r="C32" s="100">
        <f t="shared" ref="C32:M36" si="11">C23-C16</f>
        <v>68077.984799999977</v>
      </c>
      <c r="D32" s="100"/>
      <c r="E32" s="41">
        <f t="shared" si="11"/>
        <v>20800.769999999997</v>
      </c>
      <c r="F32" s="41">
        <f t="shared" si="11"/>
        <v>6760.7999999999956</v>
      </c>
      <c r="G32" s="108">
        <f t="shared" si="11"/>
        <v>-9757.3099999999977</v>
      </c>
      <c r="H32" s="40">
        <f t="shared" si="11"/>
        <v>48923.119999999995</v>
      </c>
      <c r="I32" s="41">
        <f t="shared" si="11"/>
        <v>50352.229999999996</v>
      </c>
      <c r="J32" s="61">
        <f t="shared" si="11"/>
        <v>57483.399999999994</v>
      </c>
      <c r="K32" s="120">
        <f t="shared" si="11"/>
        <v>57487.861799999984</v>
      </c>
      <c r="L32" s="41">
        <f t="shared" si="11"/>
        <v>33837.170839999977</v>
      </c>
      <c r="M32" s="61">
        <f t="shared" si="11"/>
        <v>-154743.51516000001</v>
      </c>
    </row>
    <row r="33" spans="1:16" x14ac:dyDescent="0.35">
      <c r="A33" s="46" t="s">
        <v>132</v>
      </c>
      <c r="C33" s="100">
        <f t="shared" si="11"/>
        <v>5956.2253599999985</v>
      </c>
      <c r="D33" s="100"/>
      <c r="E33" s="41">
        <f t="shared" si="11"/>
        <v>565.89000000000033</v>
      </c>
      <c r="F33" s="41">
        <f t="shared" si="11"/>
        <v>-301.28999999999996</v>
      </c>
      <c r="G33" s="108">
        <f t="shared" si="11"/>
        <v>-1331.6099999999997</v>
      </c>
      <c r="H33" s="40">
        <f t="shared" si="11"/>
        <v>7690.93</v>
      </c>
      <c r="I33" s="41">
        <f t="shared" si="11"/>
        <v>3221.17</v>
      </c>
      <c r="J33" s="61">
        <f t="shared" si="11"/>
        <v>3980.7200000000012</v>
      </c>
      <c r="K33" s="120">
        <f t="shared" si="11"/>
        <v>2870.2485000000015</v>
      </c>
      <c r="L33" s="41">
        <f t="shared" si="11"/>
        <v>1329.0348300000005</v>
      </c>
      <c r="M33" s="61">
        <f t="shared" si="11"/>
        <v>-18688.748039999999</v>
      </c>
    </row>
    <row r="34" spans="1:16" x14ac:dyDescent="0.35">
      <c r="A34" s="46" t="s">
        <v>133</v>
      </c>
      <c r="C34" s="100">
        <f t="shared" si="11"/>
        <v>20095.384289999998</v>
      </c>
      <c r="D34" s="100"/>
      <c r="E34" s="41">
        <f t="shared" si="11"/>
        <v>-253.71999999999935</v>
      </c>
      <c r="F34" s="41">
        <f t="shared" si="11"/>
        <v>-1662.9699999999993</v>
      </c>
      <c r="G34" s="108">
        <f t="shared" si="11"/>
        <v>-3388.9400000000005</v>
      </c>
      <c r="H34" s="40">
        <f t="shared" si="11"/>
        <v>13475.130000000001</v>
      </c>
      <c r="I34" s="41">
        <f t="shared" si="11"/>
        <v>7757.4399999999987</v>
      </c>
      <c r="J34" s="61">
        <f t="shared" si="11"/>
        <v>8868.9299999999967</v>
      </c>
      <c r="K34" s="120">
        <f t="shared" si="11"/>
        <v>5749.9675499999976</v>
      </c>
      <c r="L34" s="41">
        <f t="shared" si="11"/>
        <v>2865.1547399999981</v>
      </c>
      <c r="M34" s="61">
        <f t="shared" si="11"/>
        <v>-34981.22034</v>
      </c>
    </row>
    <row r="35" spans="1:16" x14ac:dyDescent="0.35">
      <c r="A35" s="46" t="s">
        <v>134</v>
      </c>
      <c r="C35" s="100">
        <f t="shared" si="11"/>
        <v>47456.289359999995</v>
      </c>
      <c r="D35" s="100"/>
      <c r="E35" s="41">
        <f t="shared" si="11"/>
        <v>3868.3500000000058</v>
      </c>
      <c r="F35" s="41">
        <f t="shared" si="11"/>
        <v>-237.69999999999709</v>
      </c>
      <c r="G35" s="108">
        <f t="shared" si="11"/>
        <v>-3983.9599999999991</v>
      </c>
      <c r="H35" s="40">
        <f t="shared" si="11"/>
        <v>25525.789999999994</v>
      </c>
      <c r="I35" s="41">
        <f t="shared" si="11"/>
        <v>21694.219999999994</v>
      </c>
      <c r="J35" s="61">
        <f t="shared" si="11"/>
        <v>23911.46</v>
      </c>
      <c r="K35" s="120">
        <f t="shared" si="11"/>
        <v>23438.826399999991</v>
      </c>
      <c r="L35" s="41">
        <f t="shared" si="11"/>
        <v>17880.153999999995</v>
      </c>
      <c r="M35" s="61">
        <f t="shared" si="11"/>
        <v>-67404.4228</v>
      </c>
    </row>
    <row r="36" spans="1:16" x14ac:dyDescent="0.35">
      <c r="A36" s="46" t="s">
        <v>135</v>
      </c>
      <c r="C36" s="100">
        <f t="shared" si="11"/>
        <v>6080.1940400000021</v>
      </c>
      <c r="D36" s="100"/>
      <c r="E36" s="41">
        <f t="shared" si="11"/>
        <v>-766.10999999999967</v>
      </c>
      <c r="F36" s="41">
        <f t="shared" si="11"/>
        <v>-770.67999999999938</v>
      </c>
      <c r="G36" s="108">
        <f t="shared" si="11"/>
        <v>-1003.3699999999999</v>
      </c>
      <c r="H36" s="40">
        <f t="shared" si="11"/>
        <v>4294.4800000000005</v>
      </c>
      <c r="I36" s="41">
        <f t="shared" si="11"/>
        <v>2885.34</v>
      </c>
      <c r="J36" s="61">
        <f t="shared" si="11"/>
        <v>2910.75</v>
      </c>
      <c r="K36" s="120">
        <f t="shared" si="11"/>
        <v>2756.5097999999998</v>
      </c>
      <c r="L36" s="41">
        <f t="shared" si="11"/>
        <v>1907.3346199999996</v>
      </c>
      <c r="M36" s="61">
        <f t="shared" si="11"/>
        <v>-10297.092410000001</v>
      </c>
    </row>
    <row r="37" spans="1:16" x14ac:dyDescent="0.35">
      <c r="C37" s="99"/>
      <c r="D37" s="99"/>
      <c r="E37" s="17"/>
      <c r="F37" s="17"/>
      <c r="G37" s="17"/>
      <c r="H37" s="10"/>
      <c r="I37" s="17"/>
      <c r="J37" s="29"/>
      <c r="K37" s="17"/>
      <c r="L37" s="17"/>
      <c r="M37" s="11"/>
    </row>
    <row r="38" spans="1:16" x14ac:dyDescent="0.35">
      <c r="A38" s="46" t="s">
        <v>52</v>
      </c>
      <c r="C38" s="99"/>
      <c r="D38" s="99"/>
      <c r="E38" s="17"/>
      <c r="F38" s="17"/>
      <c r="G38" s="17"/>
      <c r="H38" s="10"/>
      <c r="I38" s="17"/>
      <c r="J38" s="11"/>
      <c r="K38" s="17"/>
      <c r="L38" s="17"/>
      <c r="M38" s="11"/>
    </row>
    <row r="39" spans="1:16" x14ac:dyDescent="0.35">
      <c r="A39" s="46" t="s">
        <v>24</v>
      </c>
      <c r="B39" s="312">
        <v>65140.025200000047</v>
      </c>
      <c r="C39" s="100">
        <f t="shared" ref="C39:M43" si="12">B39+C32+B47</f>
        <v>133218.01</v>
      </c>
      <c r="D39" s="100"/>
      <c r="E39" s="41">
        <f>C39+E32+C47+D47</f>
        <v>152476.56</v>
      </c>
      <c r="F39" s="41">
        <f t="shared" si="12"/>
        <v>159998.93</v>
      </c>
      <c r="G39" s="108">
        <f t="shared" si="12"/>
        <v>151100.47999999998</v>
      </c>
      <c r="H39" s="40">
        <f t="shared" si="12"/>
        <v>200876.56999999998</v>
      </c>
      <c r="I39" s="41">
        <f t="shared" si="12"/>
        <v>252191.18</v>
      </c>
      <c r="J39" s="61">
        <f t="shared" si="12"/>
        <v>310913.68999999994</v>
      </c>
      <c r="K39" s="120">
        <f t="shared" si="12"/>
        <v>369940.17179999989</v>
      </c>
      <c r="L39" s="41">
        <f t="shared" si="12"/>
        <v>405637.80263999989</v>
      </c>
      <c r="M39" s="61">
        <f t="shared" si="12"/>
        <v>253013.88747999989</v>
      </c>
      <c r="P39" s="186"/>
    </row>
    <row r="40" spans="1:16" x14ac:dyDescent="0.35">
      <c r="A40" s="46" t="s">
        <v>132</v>
      </c>
      <c r="B40" s="312">
        <v>5313.5646399999896</v>
      </c>
      <c r="C40" s="100">
        <f t="shared" si="12"/>
        <v>11269.789999999988</v>
      </c>
      <c r="D40" s="100"/>
      <c r="E40" s="41">
        <f t="shared" ref="E40:E43" si="13">C40+E33+C48+D48</f>
        <v>11713.139999999989</v>
      </c>
      <c r="F40" s="41">
        <f t="shared" si="12"/>
        <v>11473.119999999988</v>
      </c>
      <c r="G40" s="108">
        <f t="shared" si="12"/>
        <v>10205.249999999987</v>
      </c>
      <c r="H40" s="40">
        <f t="shared" si="12"/>
        <v>17955.629999999986</v>
      </c>
      <c r="I40" s="41">
        <f t="shared" si="12"/>
        <v>21253.76999999999</v>
      </c>
      <c r="J40" s="61">
        <f t="shared" si="12"/>
        <v>25341.709999999992</v>
      </c>
      <c r="K40" s="120">
        <f t="shared" si="12"/>
        <v>28339.288499999995</v>
      </c>
      <c r="L40" s="41">
        <f t="shared" si="12"/>
        <v>29815.023329999996</v>
      </c>
      <c r="M40" s="61">
        <f t="shared" si="12"/>
        <v>11285.225289999998</v>
      </c>
      <c r="P40" s="186"/>
    </row>
    <row r="41" spans="1:16" x14ac:dyDescent="0.35">
      <c r="A41" s="46" t="s">
        <v>133</v>
      </c>
      <c r="B41" s="312">
        <v>33477.375710000029</v>
      </c>
      <c r="C41" s="100">
        <f t="shared" si="12"/>
        <v>53572.760000000024</v>
      </c>
      <c r="D41" s="100"/>
      <c r="E41" s="41">
        <f t="shared" si="13"/>
        <v>52766.630000000019</v>
      </c>
      <c r="F41" s="41">
        <f t="shared" si="12"/>
        <v>51387.180000000015</v>
      </c>
      <c r="G41" s="108">
        <f t="shared" si="12"/>
        <v>48284.600000000013</v>
      </c>
      <c r="H41" s="40">
        <f t="shared" si="12"/>
        <v>62033.040000000008</v>
      </c>
      <c r="I41" s="41">
        <f t="shared" si="12"/>
        <v>70092.13</v>
      </c>
      <c r="J41" s="61">
        <f t="shared" si="12"/>
        <v>79322.47</v>
      </c>
      <c r="K41" s="120">
        <f t="shared" si="12"/>
        <v>85480.787550000008</v>
      </c>
      <c r="L41" s="41">
        <f t="shared" si="12"/>
        <v>88796.372289999999</v>
      </c>
      <c r="M41" s="61">
        <f t="shared" si="12"/>
        <v>54291.521950000002</v>
      </c>
      <c r="P41" s="186"/>
    </row>
    <row r="42" spans="1:16" x14ac:dyDescent="0.35">
      <c r="A42" s="46" t="s">
        <v>134</v>
      </c>
      <c r="B42" s="312">
        <v>35656.850640000062</v>
      </c>
      <c r="C42" s="100">
        <f t="shared" si="12"/>
        <v>83113.140000000058</v>
      </c>
      <c r="D42" s="100"/>
      <c r="E42" s="41">
        <f t="shared" si="13"/>
        <v>86085.670000000056</v>
      </c>
      <c r="F42" s="41">
        <f t="shared" si="12"/>
        <v>86299.040000000066</v>
      </c>
      <c r="G42" s="108">
        <f t="shared" si="12"/>
        <v>82788.980000000069</v>
      </c>
      <c r="H42" s="40">
        <f t="shared" si="12"/>
        <v>108778.39000000006</v>
      </c>
      <c r="I42" s="41">
        <f t="shared" si="12"/>
        <v>130996.40000000004</v>
      </c>
      <c r="J42" s="61">
        <f t="shared" si="12"/>
        <v>155563.67000000004</v>
      </c>
      <c r="K42" s="120">
        <f t="shared" si="12"/>
        <v>179785.55640000003</v>
      </c>
      <c r="L42" s="41">
        <f t="shared" si="12"/>
        <v>198582.14040000003</v>
      </c>
      <c r="M42" s="61">
        <f t="shared" si="12"/>
        <v>132211.78760000004</v>
      </c>
      <c r="P42" s="186"/>
    </row>
    <row r="43" spans="1:16" x14ac:dyDescent="0.35">
      <c r="A43" s="46" t="s">
        <v>135</v>
      </c>
      <c r="B43" s="312">
        <v>2714.1859599999993</v>
      </c>
      <c r="C43" s="100">
        <f>B43+C36+B51</f>
        <v>8794.380000000001</v>
      </c>
      <c r="D43" s="100"/>
      <c r="E43" s="41">
        <f t="shared" si="13"/>
        <v>7938.2400000000016</v>
      </c>
      <c r="F43" s="41">
        <f t="shared" si="12"/>
        <v>7212.1600000000026</v>
      </c>
      <c r="G43" s="108">
        <f t="shared" si="12"/>
        <v>6250.4500000000025</v>
      </c>
      <c r="H43" s="40">
        <f t="shared" si="12"/>
        <v>10581.850000000004</v>
      </c>
      <c r="I43" s="41">
        <f t="shared" si="12"/>
        <v>13513.200000000004</v>
      </c>
      <c r="J43" s="61">
        <f t="shared" si="12"/>
        <v>16489.830000000005</v>
      </c>
      <c r="K43" s="120">
        <f t="shared" si="12"/>
        <v>19328.319800000005</v>
      </c>
      <c r="L43" s="41">
        <f t="shared" si="12"/>
        <v>21333.534420000007</v>
      </c>
      <c r="M43" s="61">
        <f t="shared" si="12"/>
        <v>11147.572010000005</v>
      </c>
      <c r="P43" s="186"/>
    </row>
    <row r="44" spans="1:16" x14ac:dyDescent="0.35">
      <c r="C44" s="99"/>
      <c r="D44" s="99"/>
      <c r="E44" s="17"/>
      <c r="F44" s="17"/>
      <c r="G44" s="17"/>
      <c r="H44" s="10"/>
      <c r="I44" s="17"/>
      <c r="J44" s="11"/>
      <c r="K44" s="17"/>
      <c r="L44" s="17"/>
      <c r="M44" s="11"/>
    </row>
    <row r="45" spans="1:16" x14ac:dyDescent="0.35">
      <c r="A45" s="39" t="s">
        <v>48</v>
      </c>
      <c r="B45" s="39"/>
      <c r="C45" s="104"/>
      <c r="D45" s="104"/>
      <c r="E45" s="83">
        <f>+'PCR Cycle 2'!E50</f>
        <v>5.3602700000000003E-3</v>
      </c>
      <c r="F45" s="83">
        <f>+'PCR Cycle 2'!F50</f>
        <v>5.4837899999999997E-3</v>
      </c>
      <c r="G45" s="83">
        <f>+'PCR Cycle 2'!G50</f>
        <v>5.4684599999999996E-3</v>
      </c>
      <c r="H45" s="84">
        <f>+'PCR Cycle 2'!H50</f>
        <v>5.4552200000000002E-3</v>
      </c>
      <c r="I45" s="83">
        <f>+'PCR Cycle 2'!I50</f>
        <v>5.4582900000000002E-3</v>
      </c>
      <c r="J45" s="92">
        <f>+'PCR Cycle 2'!J50</f>
        <v>5.45277E-3</v>
      </c>
      <c r="K45" s="83">
        <f>+'PCR Cycle 2'!K50</f>
        <v>5.45277E-3</v>
      </c>
      <c r="L45" s="83">
        <f>+'PCR Cycle 2'!L50</f>
        <v>5.45277E-3</v>
      </c>
      <c r="M45" s="85"/>
    </row>
    <row r="46" spans="1:16" x14ac:dyDescent="0.35">
      <c r="A46" s="39" t="s">
        <v>36</v>
      </c>
      <c r="B46" s="39"/>
      <c r="C46" s="106"/>
      <c r="D46" s="106"/>
      <c r="E46" s="83"/>
      <c r="F46" s="83"/>
      <c r="G46" s="83"/>
      <c r="H46" s="84"/>
      <c r="I46" s="83"/>
      <c r="J46" s="85"/>
      <c r="K46" s="83"/>
      <c r="L46" s="83"/>
      <c r="M46" s="85"/>
    </row>
    <row r="47" spans="1:16" x14ac:dyDescent="0.35">
      <c r="A47" s="46" t="s">
        <v>24</v>
      </c>
      <c r="C47" s="313">
        <v>-1542.22</v>
      </c>
      <c r="D47" s="100"/>
      <c r="E47" s="41">
        <f>ROUND((C39+C47+D47+E32/2)*E$45,2)</f>
        <v>761.57</v>
      </c>
      <c r="F47" s="41">
        <f t="shared" ref="F47:M51" si="14">ROUND((E39+E47+F32/2)*F$45,2)</f>
        <v>858.86</v>
      </c>
      <c r="G47" s="108">
        <f t="shared" si="14"/>
        <v>852.97</v>
      </c>
      <c r="H47" s="40">
        <f t="shared" si="14"/>
        <v>962.38</v>
      </c>
      <c r="I47" s="120">
        <f t="shared" si="14"/>
        <v>1239.1099999999999</v>
      </c>
      <c r="J47" s="49">
        <f t="shared" si="14"/>
        <v>1538.62</v>
      </c>
      <c r="K47" s="159">
        <f t="shared" si="14"/>
        <v>1860.46</v>
      </c>
      <c r="L47" s="108">
        <f t="shared" si="14"/>
        <v>2119.6</v>
      </c>
      <c r="M47" s="61">
        <f t="shared" si="14"/>
        <v>0</v>
      </c>
      <c r="P47" s="186">
        <f t="shared" ref="P47:P51" si="15">-SUM(K47:M47)</f>
        <v>-3980.06</v>
      </c>
    </row>
    <row r="48" spans="1:16" x14ac:dyDescent="0.35">
      <c r="A48" s="46" t="s">
        <v>132</v>
      </c>
      <c r="C48" s="313">
        <v>-122.53999999999999</v>
      </c>
      <c r="D48" s="100"/>
      <c r="E48" s="41">
        <f t="shared" ref="E48:E51" si="16">ROUND((C40+C48+D48+E33/2)*E$45,2)</f>
        <v>61.27</v>
      </c>
      <c r="F48" s="41">
        <f t="shared" si="14"/>
        <v>63.74</v>
      </c>
      <c r="G48" s="108">
        <f t="shared" si="14"/>
        <v>59.45</v>
      </c>
      <c r="H48" s="40">
        <f t="shared" si="14"/>
        <v>76.97</v>
      </c>
      <c r="I48" s="120">
        <f t="shared" si="14"/>
        <v>107.22</v>
      </c>
      <c r="J48" s="49">
        <f t="shared" si="14"/>
        <v>127.33</v>
      </c>
      <c r="K48" s="159">
        <f t="shared" si="14"/>
        <v>146.69999999999999</v>
      </c>
      <c r="L48" s="108">
        <f t="shared" si="14"/>
        <v>158.94999999999999</v>
      </c>
      <c r="M48" s="61">
        <f t="shared" si="14"/>
        <v>0</v>
      </c>
      <c r="P48" s="186">
        <f t="shared" si="15"/>
        <v>-305.64999999999998</v>
      </c>
    </row>
    <row r="49" spans="1:16" x14ac:dyDescent="0.35">
      <c r="A49" s="46" t="s">
        <v>133</v>
      </c>
      <c r="C49" s="313">
        <v>-552.41000000000008</v>
      </c>
      <c r="D49" s="100"/>
      <c r="E49" s="41">
        <f t="shared" si="16"/>
        <v>283.52</v>
      </c>
      <c r="F49" s="41">
        <f t="shared" si="14"/>
        <v>286.36</v>
      </c>
      <c r="G49" s="108">
        <f t="shared" si="14"/>
        <v>273.31</v>
      </c>
      <c r="H49" s="40">
        <f t="shared" si="14"/>
        <v>301.64999999999998</v>
      </c>
      <c r="I49" s="120">
        <f t="shared" si="14"/>
        <v>361.41</v>
      </c>
      <c r="J49" s="49">
        <f t="shared" si="14"/>
        <v>408.35</v>
      </c>
      <c r="K49" s="159">
        <f t="shared" si="14"/>
        <v>450.43</v>
      </c>
      <c r="L49" s="108">
        <f t="shared" si="14"/>
        <v>476.37</v>
      </c>
      <c r="M49" s="61">
        <f t="shared" si="14"/>
        <v>0</v>
      </c>
      <c r="P49" s="186">
        <f t="shared" si="15"/>
        <v>-926.8</v>
      </c>
    </row>
    <row r="50" spans="1:16" x14ac:dyDescent="0.35">
      <c r="A50" s="46" t="s">
        <v>134</v>
      </c>
      <c r="C50" s="313">
        <v>-895.81999999999994</v>
      </c>
      <c r="D50" s="100"/>
      <c r="E50" s="41">
        <f t="shared" si="16"/>
        <v>451.07</v>
      </c>
      <c r="F50" s="41">
        <f t="shared" si="14"/>
        <v>473.9</v>
      </c>
      <c r="G50" s="108">
        <f t="shared" si="14"/>
        <v>463.62</v>
      </c>
      <c r="H50" s="40">
        <f t="shared" si="14"/>
        <v>523.79</v>
      </c>
      <c r="I50" s="120">
        <f t="shared" si="14"/>
        <v>655.81</v>
      </c>
      <c r="J50" s="49">
        <f t="shared" si="14"/>
        <v>783.06</v>
      </c>
      <c r="K50" s="159">
        <f t="shared" si="14"/>
        <v>916.43</v>
      </c>
      <c r="L50" s="108">
        <f t="shared" si="14"/>
        <v>1034.07</v>
      </c>
      <c r="M50" s="61">
        <f t="shared" si="14"/>
        <v>0</v>
      </c>
      <c r="P50" s="186">
        <f t="shared" si="15"/>
        <v>-1950.5</v>
      </c>
    </row>
    <row r="51" spans="1:16" ht="15" thickBot="1" x14ac:dyDescent="0.4">
      <c r="A51" s="46" t="s">
        <v>135</v>
      </c>
      <c r="C51" s="313">
        <v>-90.03</v>
      </c>
      <c r="D51" s="100"/>
      <c r="E51" s="41">
        <f t="shared" si="16"/>
        <v>44.6</v>
      </c>
      <c r="F51" s="41">
        <f t="shared" si="14"/>
        <v>41.66</v>
      </c>
      <c r="G51" s="108">
        <f t="shared" si="14"/>
        <v>36.92</v>
      </c>
      <c r="H51" s="40">
        <f t="shared" si="14"/>
        <v>46.01</v>
      </c>
      <c r="I51" s="120">
        <f t="shared" si="14"/>
        <v>65.88</v>
      </c>
      <c r="J51" s="49">
        <f t="shared" si="14"/>
        <v>81.98</v>
      </c>
      <c r="K51" s="159">
        <f t="shared" si="14"/>
        <v>97.88</v>
      </c>
      <c r="L51" s="108">
        <f t="shared" si="14"/>
        <v>111.13</v>
      </c>
      <c r="M51" s="61">
        <f t="shared" si="14"/>
        <v>0</v>
      </c>
      <c r="P51" s="186">
        <f t="shared" si="15"/>
        <v>-209.01</v>
      </c>
    </row>
    <row r="52" spans="1:16" ht="15.5" thickTop="1" thickBot="1" x14ac:dyDescent="0.4">
      <c r="A52" s="54" t="s">
        <v>22</v>
      </c>
      <c r="B52" s="54"/>
      <c r="C52" s="107">
        <v>0</v>
      </c>
      <c r="D52" s="107"/>
      <c r="E52" s="42">
        <f t="shared" ref="E52:J52" si="17">SUM(E47:E51)+SUM(E39:E43)-E55</f>
        <v>0</v>
      </c>
      <c r="F52" s="42">
        <f t="shared" si="17"/>
        <v>0</v>
      </c>
      <c r="G52" s="50">
        <f t="shared" ref="G52:I52" si="18">SUM(G47:G51)+SUM(G39:G43)-G55</f>
        <v>0</v>
      </c>
      <c r="H52" s="143">
        <f t="shared" si="18"/>
        <v>0</v>
      </c>
      <c r="I52" s="50">
        <f t="shared" si="18"/>
        <v>0</v>
      </c>
      <c r="J52" s="62">
        <f t="shared" si="17"/>
        <v>0</v>
      </c>
      <c r="K52" s="160">
        <f t="shared" ref="K52:M52" si="19">SUM(K47:K51)+SUM(K39:K43)-K55</f>
        <v>0</v>
      </c>
      <c r="L52" s="50">
        <f t="shared" si="19"/>
        <v>0</v>
      </c>
      <c r="M52" s="62">
        <f t="shared" si="19"/>
        <v>0</v>
      </c>
    </row>
    <row r="53" spans="1:16" ht="15.5" thickTop="1" thickBot="1" x14ac:dyDescent="0.4">
      <c r="A53" s="54" t="s">
        <v>23</v>
      </c>
      <c r="B53" s="54"/>
      <c r="C53" s="107">
        <v>0</v>
      </c>
      <c r="D53" s="107"/>
      <c r="E53" s="42">
        <f t="shared" ref="E53:J53" si="20">SUM(E47:E51)-E29</f>
        <v>0</v>
      </c>
      <c r="F53" s="42">
        <f t="shared" si="20"/>
        <v>0</v>
      </c>
      <c r="G53" s="50">
        <f t="shared" ref="G53:I53" si="21">SUM(G47:G51)-G29</f>
        <v>0</v>
      </c>
      <c r="H53" s="143">
        <f t="shared" si="21"/>
        <v>0</v>
      </c>
      <c r="I53" s="50">
        <f t="shared" si="21"/>
        <v>0</v>
      </c>
      <c r="J53" s="62">
        <f t="shared" si="20"/>
        <v>0</v>
      </c>
      <c r="K53" s="161">
        <f t="shared" ref="K53:M53" si="22">SUM(K47:K51)-K29</f>
        <v>0</v>
      </c>
      <c r="L53" s="42">
        <f t="shared" si="22"/>
        <v>0</v>
      </c>
      <c r="M53" s="42">
        <f t="shared" si="22"/>
        <v>0</v>
      </c>
    </row>
    <row r="54" spans="1:16" ht="15.5" thickTop="1" thickBot="1" x14ac:dyDescent="0.4">
      <c r="C54" s="99"/>
      <c r="D54" s="99"/>
      <c r="E54" s="17"/>
      <c r="F54" s="17"/>
      <c r="G54" s="17"/>
      <c r="H54" s="10"/>
      <c r="I54" s="17"/>
      <c r="J54" s="11"/>
      <c r="K54" s="17"/>
      <c r="L54" s="17"/>
      <c r="M54" s="11"/>
    </row>
    <row r="55" spans="1:16" ht="15" thickBot="1" x14ac:dyDescent="0.4">
      <c r="A55" s="46" t="s">
        <v>35</v>
      </c>
      <c r="B55" s="116">
        <f>SUM(B39:B43)</f>
        <v>142302.0021500001</v>
      </c>
      <c r="C55" s="100">
        <f t="shared" ref="C55:M55" si="23">(C13-SUM(C16:C20))+SUM(C47:C51)+B55</f>
        <v>286765.06000000006</v>
      </c>
      <c r="D55" s="100"/>
      <c r="E55" s="41">
        <f>(E13-SUM(E16:E20))+SUM(D47:E51)+C55</f>
        <v>312582.27</v>
      </c>
      <c r="F55" s="41">
        <f t="shared" si="23"/>
        <v>318094.95</v>
      </c>
      <c r="G55" s="108">
        <f t="shared" si="23"/>
        <v>300316.03000000003</v>
      </c>
      <c r="H55" s="40">
        <f t="shared" si="23"/>
        <v>402136.28</v>
      </c>
      <c r="I55" s="41">
        <f t="shared" si="23"/>
        <v>490476.11</v>
      </c>
      <c r="J55" s="61">
        <f t="shared" si="23"/>
        <v>590570.71</v>
      </c>
      <c r="K55" s="159">
        <f t="shared" si="23"/>
        <v>686346.02404999989</v>
      </c>
      <c r="L55" s="108">
        <f t="shared" si="23"/>
        <v>748064.99307999981</v>
      </c>
      <c r="M55" s="61">
        <f t="shared" si="23"/>
        <v>461949.99432999984</v>
      </c>
    </row>
    <row r="56" spans="1:16" x14ac:dyDescent="0.35">
      <c r="A56" s="46" t="s">
        <v>12</v>
      </c>
      <c r="C56" s="117"/>
      <c r="D56" s="17"/>
      <c r="E56" s="17"/>
      <c r="F56" s="17"/>
      <c r="G56" s="17"/>
      <c r="H56" s="10"/>
      <c r="I56" s="17"/>
      <c r="J56" s="11"/>
      <c r="K56" s="17"/>
      <c r="L56" s="17"/>
      <c r="M56" s="11"/>
    </row>
    <row r="57" spans="1:16" ht="15" thickBot="1" x14ac:dyDescent="0.4">
      <c r="A57" s="37"/>
      <c r="B57" s="37"/>
      <c r="C57" s="144"/>
      <c r="D57" s="266"/>
      <c r="E57" s="44"/>
      <c r="F57" s="44"/>
      <c r="G57" s="44"/>
      <c r="H57" s="43"/>
      <c r="I57" s="44"/>
      <c r="J57" s="45"/>
      <c r="K57" s="44"/>
      <c r="L57" s="44"/>
      <c r="M57" s="45"/>
    </row>
    <row r="58" spans="1:16" x14ac:dyDescent="0.35">
      <c r="E58"/>
      <c r="F58"/>
      <c r="G58"/>
      <c r="H58"/>
      <c r="I58"/>
      <c r="J58"/>
      <c r="K58"/>
      <c r="L58"/>
      <c r="M58"/>
    </row>
    <row r="59" spans="1:16" x14ac:dyDescent="0.35">
      <c r="A59" s="69" t="s">
        <v>11</v>
      </c>
      <c r="B59" s="69"/>
      <c r="C59" s="69"/>
      <c r="D59" s="69"/>
      <c r="E59"/>
      <c r="F59"/>
      <c r="G59"/>
      <c r="H59"/>
      <c r="I59"/>
      <c r="J59"/>
      <c r="K59"/>
      <c r="L59"/>
      <c r="M59"/>
    </row>
    <row r="60" spans="1:16" ht="31.5" customHeight="1" x14ac:dyDescent="0.35">
      <c r="A60" s="350" t="s">
        <v>157</v>
      </c>
      <c r="B60" s="350"/>
      <c r="C60" s="350"/>
      <c r="D60" s="350"/>
      <c r="E60" s="350"/>
      <c r="F60" s="350"/>
      <c r="G60" s="350"/>
      <c r="H60" s="350"/>
      <c r="I60" s="350"/>
      <c r="J60" s="350"/>
      <c r="K60" s="276"/>
      <c r="L60" s="276"/>
      <c r="M60" s="276"/>
    </row>
    <row r="61" spans="1:16" ht="57.75" customHeight="1" x14ac:dyDescent="0.35">
      <c r="A61" s="350" t="s">
        <v>235</v>
      </c>
      <c r="B61" s="350"/>
      <c r="C61" s="350"/>
      <c r="D61" s="350"/>
      <c r="E61" s="350"/>
      <c r="F61" s="350"/>
      <c r="G61" s="350"/>
      <c r="H61" s="350"/>
      <c r="I61" s="350"/>
      <c r="J61" s="350"/>
      <c r="K61" s="350"/>
      <c r="L61" s="276"/>
    </row>
    <row r="62" spans="1:16" x14ac:dyDescent="0.35">
      <c r="A62" s="350" t="s">
        <v>184</v>
      </c>
      <c r="B62" s="350"/>
      <c r="C62" s="350"/>
      <c r="D62" s="350"/>
      <c r="E62" s="350"/>
      <c r="F62" s="350"/>
      <c r="G62" s="350"/>
      <c r="H62" s="350"/>
      <c r="I62" s="350"/>
      <c r="J62" s="350"/>
      <c r="K62" s="330"/>
      <c r="L62" s="276"/>
      <c r="M62" s="276"/>
    </row>
    <row r="63" spans="1:16" x14ac:dyDescent="0.35">
      <c r="A63" s="350" t="s">
        <v>303</v>
      </c>
      <c r="B63" s="350"/>
      <c r="C63" s="350"/>
      <c r="D63" s="350"/>
      <c r="E63" s="350"/>
      <c r="F63" s="350"/>
      <c r="G63" s="350"/>
      <c r="H63" s="350"/>
      <c r="I63" s="350"/>
      <c r="J63" s="350"/>
      <c r="K63" s="350"/>
    </row>
    <row r="64" spans="1:16" x14ac:dyDescent="0.35">
      <c r="A64" s="63" t="s">
        <v>284</v>
      </c>
      <c r="B64" s="63"/>
      <c r="C64" s="63"/>
      <c r="D64" s="63"/>
      <c r="E64" s="39"/>
      <c r="F64" s="39"/>
      <c r="G64" s="39"/>
      <c r="H64" s="39"/>
      <c r="I64" s="39"/>
      <c r="J64" s="39"/>
      <c r="K64" s="39"/>
    </row>
    <row r="65" spans="1:7" s="39" customFormat="1" x14ac:dyDescent="0.35">
      <c r="A65" s="63" t="s">
        <v>92</v>
      </c>
      <c r="B65" s="63"/>
      <c r="C65" s="63"/>
      <c r="D65" s="63"/>
    </row>
    <row r="66" spans="1:7" x14ac:dyDescent="0.35">
      <c r="A66" s="3"/>
      <c r="B66" s="3"/>
      <c r="C66" s="3"/>
      <c r="D66" s="3"/>
    </row>
    <row r="68" spans="1:7" ht="36" customHeight="1" x14ac:dyDescent="0.35">
      <c r="A68" s="346"/>
      <c r="B68" s="346"/>
      <c r="C68" s="346"/>
      <c r="D68" s="346"/>
      <c r="E68" s="346"/>
      <c r="F68" s="346"/>
      <c r="G68" s="346"/>
    </row>
  </sheetData>
  <mergeCells count="8">
    <mergeCell ref="A68:G68"/>
    <mergeCell ref="E11:G11"/>
    <mergeCell ref="H11:J11"/>
    <mergeCell ref="K11:M11"/>
    <mergeCell ref="A60:J60"/>
    <mergeCell ref="A62:J62"/>
    <mergeCell ref="A61:K61"/>
    <mergeCell ref="A63:K63"/>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4"/>
  <sheetViews>
    <sheetView workbookViewId="0">
      <selection activeCell="E2" sqref="E2"/>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2.453125" style="46" bestFit="1" customWidth="1"/>
    <col min="6" max="6" width="13.54296875" style="46" bestFit="1" customWidth="1"/>
    <col min="7" max="16384" width="9.1796875" style="46"/>
  </cols>
  <sheetData>
    <row r="1" spans="1:4" x14ac:dyDescent="0.35">
      <c r="A1" s="63" t="str">
        <f>+'PPC Cycle 3'!A1</f>
        <v>Evergy Metro, Inc. - DSIM Rider Update Filed 06/01/2024</v>
      </c>
    </row>
    <row r="2" spans="1:4" x14ac:dyDescent="0.35">
      <c r="A2" s="9" t="str">
        <f>+'PPC Cycle 3'!A2</f>
        <v>Projections for Cycle 3 July 2024 - June 2025 DSIM</v>
      </c>
    </row>
    <row r="3" spans="1:4" ht="45.75" customHeight="1" x14ac:dyDescent="0.35">
      <c r="B3" s="344" t="s">
        <v>94</v>
      </c>
      <c r="C3" s="344"/>
      <c r="D3" s="344"/>
    </row>
    <row r="4" spans="1:4" x14ac:dyDescent="0.35">
      <c r="B4" s="48" t="s">
        <v>17</v>
      </c>
    </row>
    <row r="5" spans="1:4" x14ac:dyDescent="0.35">
      <c r="A5" s="20" t="s">
        <v>82</v>
      </c>
      <c r="B5" s="279">
        <f>+B8</f>
        <v>0</v>
      </c>
    </row>
    <row r="6" spans="1:4" x14ac:dyDescent="0.35">
      <c r="A6" s="20" t="s">
        <v>83</v>
      </c>
      <c r="B6" s="279">
        <f>+C8</f>
        <v>0</v>
      </c>
    </row>
    <row r="7" spans="1:4" ht="29" x14ac:dyDescent="0.35">
      <c r="A7" s="20"/>
      <c r="B7" s="268" t="s">
        <v>82</v>
      </c>
      <c r="C7" s="269" t="s">
        <v>83</v>
      </c>
      <c r="D7" s="3" t="s">
        <v>5</v>
      </c>
    </row>
    <row r="8" spans="1:4" x14ac:dyDescent="0.35">
      <c r="A8" s="20" t="s">
        <v>24</v>
      </c>
      <c r="B8" s="213">
        <v>0</v>
      </c>
      <c r="C8" s="213">
        <v>0</v>
      </c>
      <c r="D8" s="213">
        <f>SUM(B8:C8)</f>
        <v>0</v>
      </c>
    </row>
    <row r="9" spans="1:4" x14ac:dyDescent="0.35">
      <c r="A9" s="20" t="s">
        <v>25</v>
      </c>
      <c r="B9" s="213">
        <v>0</v>
      </c>
      <c r="C9" s="213">
        <v>0</v>
      </c>
      <c r="D9" s="213">
        <f>SUM(B9:C9)</f>
        <v>0</v>
      </c>
    </row>
    <row r="10" spans="1:4" ht="15" thickBot="1" x14ac:dyDescent="0.4">
      <c r="A10" s="20" t="s">
        <v>5</v>
      </c>
      <c r="B10" s="214">
        <f>SUM(B8:B9)</f>
        <v>0</v>
      </c>
      <c r="C10" s="214">
        <f>SUM(C8:C9)</f>
        <v>0</v>
      </c>
      <c r="D10" s="214">
        <f>SUM(D8:D9)</f>
        <v>0</v>
      </c>
    </row>
    <row r="11" spans="1:4" ht="15.5" thickTop="1" thickBot="1" x14ac:dyDescent="0.4">
      <c r="B11" s="215">
        <f>+B10-B5</f>
        <v>0</v>
      </c>
      <c r="C11" s="215">
        <f>+C10-B6</f>
        <v>0</v>
      </c>
      <c r="D11" s="215">
        <f>ROUND(B5+B6,2)-D10</f>
        <v>0</v>
      </c>
    </row>
    <row r="12" spans="1:4" ht="29.5" thickTop="1" x14ac:dyDescent="0.35">
      <c r="B12" s="225"/>
      <c r="C12" s="224" t="s">
        <v>108</v>
      </c>
    </row>
    <row r="13" spans="1:4" x14ac:dyDescent="0.35">
      <c r="A13" s="20" t="s">
        <v>104</v>
      </c>
      <c r="B13" s="213">
        <v>0</v>
      </c>
      <c r="C13" s="222">
        <f>+'PCR Cycle 2'!L8</f>
        <v>0.13576441564001979</v>
      </c>
    </row>
    <row r="14" spans="1:4" x14ac:dyDescent="0.35">
      <c r="A14" s="20" t="s">
        <v>105</v>
      </c>
      <c r="B14" s="213">
        <v>0</v>
      </c>
      <c r="C14" s="222">
        <f>+'PCR Cycle 2'!L9</f>
        <v>0.35611574316442379</v>
      </c>
    </row>
    <row r="15" spans="1:4" x14ac:dyDescent="0.35">
      <c r="A15" s="20" t="s">
        <v>106</v>
      </c>
      <c r="B15" s="270">
        <v>0</v>
      </c>
      <c r="C15" s="222">
        <f>+'PCR Cycle 2'!L10</f>
        <v>0.4183185730547726</v>
      </c>
    </row>
    <row r="16" spans="1:4" ht="15" thickBot="1" x14ac:dyDescent="0.4">
      <c r="A16" s="20" t="s">
        <v>107</v>
      </c>
      <c r="B16" s="213">
        <v>0</v>
      </c>
      <c r="C16" s="222">
        <f>+'PCR Cycle 2'!L11</f>
        <v>8.9801268140783777E-2</v>
      </c>
    </row>
    <row r="17" spans="1:4" ht="15.5" thickTop="1" thickBot="1" x14ac:dyDescent="0.4">
      <c r="A17" s="20" t="s">
        <v>109</v>
      </c>
      <c r="B17" s="32">
        <f>SUM(B13:B16)</f>
        <v>0</v>
      </c>
      <c r="C17" s="223">
        <f>SUM(C13:C16)</f>
        <v>1</v>
      </c>
    </row>
    <row r="18" spans="1:4" ht="15" thickTop="1" x14ac:dyDescent="0.35"/>
    <row r="19" spans="1:4" x14ac:dyDescent="0.35">
      <c r="A19" s="53" t="s">
        <v>11</v>
      </c>
    </row>
    <row r="20" spans="1:4" s="39" customFormat="1" x14ac:dyDescent="0.35">
      <c r="A20" s="3" t="s">
        <v>214</v>
      </c>
      <c r="B20" s="46"/>
      <c r="C20" s="46"/>
      <c r="D20" s="46"/>
    </row>
    <row r="21" spans="1:4" s="39" customFormat="1" x14ac:dyDescent="0.35">
      <c r="A21" s="3" t="s">
        <v>215</v>
      </c>
      <c r="B21" s="46"/>
      <c r="C21" s="46"/>
      <c r="D21" s="46"/>
    </row>
    <row r="22" spans="1:4" s="39" customFormat="1" x14ac:dyDescent="0.35">
      <c r="A22" s="3"/>
      <c r="B22" s="46"/>
      <c r="C22" s="46"/>
      <c r="D22" s="46"/>
    </row>
    <row r="24" spans="1:4" x14ac:dyDescent="0.35">
      <c r="A24" s="3"/>
      <c r="D24" s="186"/>
    </row>
    <row r="25" spans="1:4" x14ac:dyDescent="0.35">
      <c r="D25" s="186"/>
    </row>
    <row r="26" spans="1:4" x14ac:dyDescent="0.35">
      <c r="B26" s="70"/>
      <c r="D26" s="186"/>
    </row>
    <row r="27" spans="1:4" x14ac:dyDescent="0.35">
      <c r="A27" s="210"/>
      <c r="B27" s="211"/>
      <c r="D27" s="186"/>
    </row>
    <row r="28" spans="1:4" x14ac:dyDescent="0.35">
      <c r="A28" s="210"/>
      <c r="B28" s="211"/>
      <c r="D28" s="186"/>
    </row>
    <row r="29" spans="1:4" x14ac:dyDescent="0.35">
      <c r="A29" s="210"/>
      <c r="B29" s="211"/>
      <c r="D29" s="186"/>
    </row>
    <row r="30" spans="1:4" x14ac:dyDescent="0.35">
      <c r="A30" s="210"/>
      <c r="B30" s="211"/>
      <c r="D30" s="186"/>
    </row>
    <row r="31" spans="1:4" x14ac:dyDescent="0.35">
      <c r="A31" s="210"/>
      <c r="B31" s="187"/>
      <c r="D31" s="186"/>
    </row>
    <row r="32" spans="1:4" x14ac:dyDescent="0.35">
      <c r="A32" s="210"/>
      <c r="B32" s="187"/>
      <c r="D32" s="186"/>
    </row>
    <row r="33" spans="1:4" ht="16" x14ac:dyDescent="0.5">
      <c r="A33" s="210"/>
      <c r="B33" s="187"/>
      <c r="D33" s="212"/>
    </row>
    <row r="34" spans="1:4" x14ac:dyDescent="0.35">
      <c r="A34" s="210"/>
      <c r="D34" s="186"/>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pageSetUpPr fitToPage="1"/>
  </sheetPr>
  <dimension ref="A1:E35"/>
  <sheetViews>
    <sheetView workbookViewId="0">
      <selection activeCell="E2" sqref="E2"/>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3.453125" style="46" bestFit="1" customWidth="1"/>
    <col min="6" max="6" width="13.54296875" style="46" bestFit="1" customWidth="1"/>
    <col min="7" max="16384" width="9.1796875" style="46"/>
  </cols>
  <sheetData>
    <row r="1" spans="1:5" x14ac:dyDescent="0.35">
      <c r="A1" s="63" t="str">
        <f>+'PPC Cycle 3'!A1</f>
        <v>Evergy Metro, Inc. - DSIM Rider Update Filed 06/01/2024</v>
      </c>
    </row>
    <row r="2" spans="1:5" x14ac:dyDescent="0.35">
      <c r="A2" s="9" t="str">
        <f>+'PPC Cycle 3'!A2</f>
        <v>Projections for Cycle 3 July 2024 - June 2025 DSIM</v>
      </c>
    </row>
    <row r="3" spans="1:5" ht="45.75" customHeight="1" x14ac:dyDescent="0.35">
      <c r="B3" s="344" t="s">
        <v>170</v>
      </c>
      <c r="C3" s="344"/>
      <c r="D3" s="344"/>
    </row>
    <row r="4" spans="1:5" x14ac:dyDescent="0.35">
      <c r="B4" s="48" t="s">
        <v>17</v>
      </c>
    </row>
    <row r="5" spans="1:5" x14ac:dyDescent="0.35">
      <c r="A5" s="20" t="s">
        <v>173</v>
      </c>
      <c r="B5" s="279">
        <f>+B11</f>
        <v>0</v>
      </c>
    </row>
    <row r="6" spans="1:5" x14ac:dyDescent="0.35">
      <c r="A6" s="20" t="s">
        <v>174</v>
      </c>
      <c r="B6" s="279">
        <f>+C11</f>
        <v>0</v>
      </c>
    </row>
    <row r="7" spans="1:5" x14ac:dyDescent="0.35">
      <c r="A7" s="20" t="s">
        <v>175</v>
      </c>
      <c r="B7" s="279">
        <f>+D11</f>
        <v>0</v>
      </c>
    </row>
    <row r="8" spans="1:5" ht="58" x14ac:dyDescent="0.35">
      <c r="A8" s="20"/>
      <c r="B8" s="268" t="s">
        <v>173</v>
      </c>
      <c r="C8" s="268" t="s">
        <v>174</v>
      </c>
      <c r="D8" s="269" t="s">
        <v>83</v>
      </c>
      <c r="E8" s="3" t="s">
        <v>5</v>
      </c>
    </row>
    <row r="9" spans="1:5" x14ac:dyDescent="0.35">
      <c r="A9" s="20" t="s">
        <v>24</v>
      </c>
      <c r="B9" s="213">
        <v>0</v>
      </c>
      <c r="C9" s="213">
        <v>0</v>
      </c>
      <c r="D9" s="213">
        <v>0</v>
      </c>
      <c r="E9" s="213">
        <f>SUM(B9:D9)</f>
        <v>0</v>
      </c>
    </row>
    <row r="10" spans="1:5" x14ac:dyDescent="0.35">
      <c r="A10" s="20" t="s">
        <v>25</v>
      </c>
      <c r="B10" s="213">
        <v>0</v>
      </c>
      <c r="C10" s="213">
        <v>0</v>
      </c>
      <c r="D10" s="213">
        <v>0</v>
      </c>
      <c r="E10" s="213">
        <f>SUM(B10:D10)</f>
        <v>0</v>
      </c>
    </row>
    <row r="11" spans="1:5" ht="15" thickBot="1" x14ac:dyDescent="0.4">
      <c r="A11" s="20" t="s">
        <v>5</v>
      </c>
      <c r="B11" s="214">
        <f>SUM(B9:B10)</f>
        <v>0</v>
      </c>
      <c r="C11" s="214">
        <f>SUM(C9:C10)</f>
        <v>0</v>
      </c>
      <c r="D11" s="214">
        <f>SUM(D9:D10)</f>
        <v>0</v>
      </c>
      <c r="E11" s="214">
        <f>SUM(E9:E10)</f>
        <v>0</v>
      </c>
    </row>
    <row r="12" spans="1:5" ht="15.5" thickTop="1" thickBot="1" x14ac:dyDescent="0.4">
      <c r="B12" s="215">
        <f>+B11-B5</f>
        <v>0</v>
      </c>
      <c r="C12" s="215">
        <f>+C11-B6</f>
        <v>0</v>
      </c>
      <c r="D12" s="215">
        <f>+D11-B7</f>
        <v>0</v>
      </c>
      <c r="E12" s="215">
        <f>ROUND(B5+B6+B7,2)-E11</f>
        <v>0</v>
      </c>
    </row>
    <row r="13" spans="1:5" ht="15" thickTop="1" x14ac:dyDescent="0.35">
      <c r="B13" s="225"/>
      <c r="C13" s="225"/>
      <c r="D13" s="286" t="s">
        <v>178</v>
      </c>
    </row>
    <row r="14" spans="1:5" x14ac:dyDescent="0.35">
      <c r="A14" s="20" t="s">
        <v>104</v>
      </c>
      <c r="B14" s="213">
        <f>ROUND($E$10*D14,2)</f>
        <v>0</v>
      </c>
      <c r="C14" s="213"/>
      <c r="D14" s="222">
        <f>+'PCR Cycle 2'!L8</f>
        <v>0.13576441564001979</v>
      </c>
    </row>
    <row r="15" spans="1:5" x14ac:dyDescent="0.35">
      <c r="A15" s="20" t="s">
        <v>105</v>
      </c>
      <c r="B15" s="213">
        <f t="shared" ref="B15:B17" si="0">ROUND($E$10*D15,2)</f>
        <v>0</v>
      </c>
      <c r="C15" s="213"/>
      <c r="D15" s="222">
        <f>+'PCR Cycle 2'!L9</f>
        <v>0.35611574316442379</v>
      </c>
    </row>
    <row r="16" spans="1:5" x14ac:dyDescent="0.35">
      <c r="A16" s="20" t="s">
        <v>106</v>
      </c>
      <c r="B16" s="213">
        <f t="shared" si="0"/>
        <v>0</v>
      </c>
      <c r="C16" s="270"/>
      <c r="D16" s="222">
        <f>+'PCR Cycle 2'!L10</f>
        <v>0.4183185730547726</v>
      </c>
    </row>
    <row r="17" spans="1:4" ht="15" thickBot="1" x14ac:dyDescent="0.4">
      <c r="A17" s="20" t="s">
        <v>107</v>
      </c>
      <c r="B17" s="213">
        <f t="shared" si="0"/>
        <v>0</v>
      </c>
      <c r="C17" s="213"/>
      <c r="D17" s="222">
        <f>+'PCR Cycle 2'!L11</f>
        <v>8.9801268140783777E-2</v>
      </c>
    </row>
    <row r="18" spans="1:4" ht="15.5" thickTop="1" thickBot="1" x14ac:dyDescent="0.4">
      <c r="A18" s="20" t="s">
        <v>109</v>
      </c>
      <c r="B18" s="32">
        <f>SUM(B14:B17)</f>
        <v>0</v>
      </c>
      <c r="C18" s="32"/>
      <c r="D18" s="223">
        <f>SUM(D14:D17)</f>
        <v>1</v>
      </c>
    </row>
    <row r="19" spans="1:4" ht="15" thickTop="1" x14ac:dyDescent="0.35"/>
    <row r="20" spans="1:4" x14ac:dyDescent="0.35">
      <c r="A20" s="53" t="s">
        <v>11</v>
      </c>
    </row>
    <row r="21" spans="1:4" s="39" customFormat="1" x14ac:dyDescent="0.35">
      <c r="A21" s="3" t="s">
        <v>221</v>
      </c>
      <c r="B21" s="46"/>
      <c r="C21" s="46"/>
      <c r="D21" s="46"/>
    </row>
    <row r="22" spans="1:4" s="39" customFormat="1" x14ac:dyDescent="0.35">
      <c r="A22" s="3" t="s">
        <v>222</v>
      </c>
      <c r="B22" s="46"/>
      <c r="C22" s="46"/>
      <c r="D22" s="46"/>
    </row>
    <row r="23" spans="1:4" s="39" customFormat="1" x14ac:dyDescent="0.35">
      <c r="A23" s="3" t="s">
        <v>223</v>
      </c>
      <c r="B23" s="46"/>
      <c r="C23" s="46"/>
      <c r="D23" s="46"/>
    </row>
    <row r="25" spans="1:4" x14ac:dyDescent="0.35">
      <c r="A25" s="3"/>
      <c r="D25" s="186"/>
    </row>
    <row r="26" spans="1:4" x14ac:dyDescent="0.35">
      <c r="D26" s="186"/>
    </row>
    <row r="27" spans="1:4" x14ac:dyDescent="0.35">
      <c r="B27" s="70"/>
      <c r="D27" s="186"/>
    </row>
    <row r="28" spans="1:4" x14ac:dyDescent="0.35">
      <c r="A28" s="210"/>
      <c r="B28" s="211"/>
      <c r="D28" s="186"/>
    </row>
    <row r="29" spans="1:4" x14ac:dyDescent="0.35">
      <c r="A29" s="210"/>
      <c r="B29" s="211"/>
      <c r="D29" s="186"/>
    </row>
    <row r="30" spans="1:4" x14ac:dyDescent="0.35">
      <c r="A30" s="210"/>
      <c r="B30" s="211"/>
      <c r="D30" s="186"/>
    </row>
    <row r="31" spans="1:4" x14ac:dyDescent="0.35">
      <c r="A31" s="210"/>
      <c r="B31" s="211"/>
      <c r="D31" s="186"/>
    </row>
    <row r="32" spans="1:4" x14ac:dyDescent="0.35">
      <c r="A32" s="210"/>
      <c r="B32" s="187"/>
      <c r="D32" s="186"/>
    </row>
    <row r="33" spans="1:4" x14ac:dyDescent="0.35">
      <c r="A33" s="210"/>
      <c r="B33" s="187"/>
      <c r="D33" s="186"/>
    </row>
    <row r="34" spans="1:4" ht="16" x14ac:dyDescent="0.5">
      <c r="A34" s="210"/>
      <c r="B34" s="187"/>
      <c r="D34" s="212"/>
    </row>
    <row r="35" spans="1:4" x14ac:dyDescent="0.35">
      <c r="A35" s="210"/>
      <c r="D35" s="186"/>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4"/>
  <sheetViews>
    <sheetView zoomScale="85" zoomScaleNormal="85" workbookViewId="0">
      <selection activeCell="E2" sqref="E2"/>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customWidth="1" outlineLevel="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06/01/2024</v>
      </c>
      <c r="B1" s="3"/>
      <c r="C1" s="3"/>
    </row>
    <row r="2" spans="1:34" x14ac:dyDescent="0.35">
      <c r="D2" s="3" t="s">
        <v>93</v>
      </c>
    </row>
    <row r="3" spans="1:34" ht="29" x14ac:dyDescent="0.35">
      <c r="D3" s="48" t="s">
        <v>45</v>
      </c>
      <c r="E3" s="70" t="s">
        <v>17</v>
      </c>
      <c r="F3" s="48" t="s">
        <v>3</v>
      </c>
      <c r="G3" s="70" t="s">
        <v>54</v>
      </c>
      <c r="H3" s="48" t="s">
        <v>10</v>
      </c>
      <c r="I3" s="48" t="s">
        <v>18</v>
      </c>
      <c r="R3" s="48"/>
    </row>
    <row r="4" spans="1:34" x14ac:dyDescent="0.35">
      <c r="A4" s="20" t="s">
        <v>24</v>
      </c>
      <c r="B4" s="20"/>
      <c r="C4" s="20"/>
      <c r="D4" s="22">
        <f>SUM(C19:L19)</f>
        <v>-11720.571349999998</v>
      </c>
      <c r="E4" s="22">
        <f>SUM(C23:K23)</f>
        <v>0</v>
      </c>
      <c r="F4" s="22">
        <f>E4-D4</f>
        <v>11720.571349999998</v>
      </c>
      <c r="G4" s="22">
        <f>+B33</f>
        <v>-17610.89707000001</v>
      </c>
      <c r="H4" s="22">
        <f>SUM(C38:K38)</f>
        <v>-482.7</v>
      </c>
      <c r="I4" s="25">
        <f>SUM(F4:H4)</f>
        <v>-6373.0257200000115</v>
      </c>
      <c r="J4" s="47">
        <f>+I4-L33</f>
        <v>0</v>
      </c>
      <c r="M4" s="47"/>
    </row>
    <row r="5" spans="1:34" ht="15" thickBot="1" x14ac:dyDescent="0.4">
      <c r="A5" s="20" t="s">
        <v>25</v>
      </c>
      <c r="B5" s="20"/>
      <c r="C5" s="20"/>
      <c r="D5" s="22">
        <f>SUM(C20:L20)</f>
        <v>0</v>
      </c>
      <c r="E5" s="22">
        <f>SUM(C24:K24)</f>
        <v>0</v>
      </c>
      <c r="F5" s="22">
        <f>E5-D5</f>
        <v>0</v>
      </c>
      <c r="G5" s="22">
        <f>+B34</f>
        <v>0</v>
      </c>
      <c r="H5" s="22">
        <f>SUM(C39:K39)</f>
        <v>0</v>
      </c>
      <c r="I5" s="25">
        <f>SUM(F5:H5)</f>
        <v>0</v>
      </c>
      <c r="J5" s="47">
        <f>+I5-L34</f>
        <v>0</v>
      </c>
      <c r="M5" s="47"/>
    </row>
    <row r="6" spans="1:34" ht="15.5" thickTop="1" thickBot="1" x14ac:dyDescent="0.4">
      <c r="D6" s="27">
        <f t="shared" ref="D6" si="0">SUM(D4:D5)</f>
        <v>-11720.571349999998</v>
      </c>
      <c r="E6" s="27">
        <f>SUM(E4:E5)</f>
        <v>0</v>
      </c>
      <c r="F6" s="27">
        <f>SUM(F4:F5)</f>
        <v>11720.571349999998</v>
      </c>
      <c r="G6" s="27">
        <f>SUM(G4:G5)</f>
        <v>-17610.89707000001</v>
      </c>
      <c r="H6" s="27">
        <f>SUM(H4:H5)</f>
        <v>-482.7</v>
      </c>
      <c r="I6" s="27">
        <f>SUM(I4:I5)</f>
        <v>-6373.0257200000115</v>
      </c>
      <c r="S6" s="5"/>
    </row>
    <row r="7" spans="1:34" ht="44" thickTop="1" x14ac:dyDescent="0.35">
      <c r="I7" s="225"/>
      <c r="J7" s="224" t="s">
        <v>120</v>
      </c>
    </row>
    <row r="8" spans="1:34" x14ac:dyDescent="0.35">
      <c r="A8" s="20" t="s">
        <v>104</v>
      </c>
      <c r="I8" s="25">
        <f>ROUND($I$5*J8,2)</f>
        <v>0</v>
      </c>
      <c r="J8" s="222">
        <f>+'PCR Cycle 2'!L8</f>
        <v>0.13576441564001979</v>
      </c>
    </row>
    <row r="9" spans="1:34" x14ac:dyDescent="0.35">
      <c r="A9" s="20" t="s">
        <v>105</v>
      </c>
      <c r="I9" s="25">
        <f t="shared" ref="I9:I11" si="1">ROUND($I$5*J9,2)</f>
        <v>0</v>
      </c>
      <c r="J9" s="222">
        <f>+'PCR Cycle 2'!L9</f>
        <v>0.35611574316442379</v>
      </c>
    </row>
    <row r="10" spans="1:34" x14ac:dyDescent="0.35">
      <c r="A10" s="20" t="s">
        <v>106</v>
      </c>
      <c r="I10" s="25">
        <f t="shared" si="1"/>
        <v>0</v>
      </c>
      <c r="J10" s="222">
        <f>+'PCR Cycle 2'!L10</f>
        <v>0.4183185730547726</v>
      </c>
    </row>
    <row r="11" spans="1:34" ht="15" thickBot="1" x14ac:dyDescent="0.4">
      <c r="A11" s="20" t="s">
        <v>107</v>
      </c>
      <c r="I11" s="25">
        <f t="shared" si="1"/>
        <v>0</v>
      </c>
      <c r="J11" s="222">
        <f>+'PCR Cycle 2'!L11</f>
        <v>8.9801268140783777E-2</v>
      </c>
    </row>
    <row r="12" spans="1:34" ht="15.5" thickTop="1" thickBot="1" x14ac:dyDescent="0.4">
      <c r="A12" s="20" t="s">
        <v>109</v>
      </c>
      <c r="I12" s="27">
        <f>SUM(I8:I11)</f>
        <v>0</v>
      </c>
      <c r="J12" s="223">
        <f>SUM(J8:J11)</f>
        <v>1</v>
      </c>
      <c r="U12" s="4"/>
    </row>
    <row r="13" spans="1:34" ht="15.5" thickTop="1" thickBot="1" x14ac:dyDescent="0.4">
      <c r="U13" s="4"/>
      <c r="V13" s="5"/>
    </row>
    <row r="14" spans="1:34" ht="116.5" thickBot="1" x14ac:dyDescent="0.4">
      <c r="B14" s="115" t="str">
        <f>+'PCR Cycle 2'!B14</f>
        <v>Cumulative Over/Under Carryover From 12/01/2023 Filing</v>
      </c>
      <c r="C14" s="149" t="str">
        <f>+'PCR Cycle 2'!C14</f>
        <v>Reverse November 2023 - January 2024 Forecast From 12/01/2023 Filing</v>
      </c>
      <c r="D14" s="351" t="s">
        <v>32</v>
      </c>
      <c r="E14" s="351"/>
      <c r="F14" s="352"/>
      <c r="G14" s="358" t="s">
        <v>32</v>
      </c>
      <c r="H14" s="359"/>
      <c r="I14" s="360"/>
      <c r="J14" s="347" t="s">
        <v>8</v>
      </c>
      <c r="K14" s="348"/>
      <c r="L14" s="349"/>
      <c r="O14" s="290" t="s">
        <v>237</v>
      </c>
    </row>
    <row r="15" spans="1:34" x14ac:dyDescent="0.35">
      <c r="A15" s="46" t="s">
        <v>88</v>
      </c>
      <c r="C15" s="105"/>
      <c r="D15" s="19">
        <f>+'PCR Cycle 2'!E15</f>
        <v>45260</v>
      </c>
      <c r="E15" s="19">
        <f t="shared" ref="E15:L15" si="2">EOMONTH(D15,1)</f>
        <v>45291</v>
      </c>
      <c r="F15" s="19">
        <f t="shared" si="2"/>
        <v>45322</v>
      </c>
      <c r="G15" s="14">
        <f t="shared" si="2"/>
        <v>45351</v>
      </c>
      <c r="H15" s="19">
        <f t="shared" si="2"/>
        <v>45382</v>
      </c>
      <c r="I15" s="15">
        <f t="shared" si="2"/>
        <v>45412</v>
      </c>
      <c r="J15" s="19">
        <f t="shared" si="2"/>
        <v>45443</v>
      </c>
      <c r="K15" s="19">
        <f t="shared" si="2"/>
        <v>45473</v>
      </c>
      <c r="L15" s="15">
        <f t="shared" si="2"/>
        <v>45504</v>
      </c>
      <c r="Y15" s="1"/>
      <c r="Z15" s="1"/>
      <c r="AA15" s="1"/>
      <c r="AB15" s="1"/>
      <c r="AC15" s="1"/>
      <c r="AD15" s="1"/>
      <c r="AE15" s="1"/>
      <c r="AF15" s="1"/>
      <c r="AG15" s="1"/>
      <c r="AH15" s="1"/>
    </row>
    <row r="16" spans="1:34" x14ac:dyDescent="0.35">
      <c r="A16" s="46" t="s">
        <v>5</v>
      </c>
      <c r="C16" s="97">
        <v>0</v>
      </c>
      <c r="D16" s="109">
        <f>SUM(D23:D24)</f>
        <v>0</v>
      </c>
      <c r="E16" s="109">
        <f t="shared" ref="E16:H16" si="3">SUM(E23:E24)</f>
        <v>0</v>
      </c>
      <c r="F16" s="110">
        <f t="shared" si="3"/>
        <v>0</v>
      </c>
      <c r="G16" s="16">
        <f t="shared" si="3"/>
        <v>0</v>
      </c>
      <c r="H16" s="55">
        <f t="shared" si="3"/>
        <v>0</v>
      </c>
      <c r="I16" s="162">
        <f>+I23+I24</f>
        <v>0</v>
      </c>
      <c r="J16" s="155">
        <f t="shared" ref="J16:K16" si="4">+J23+J24</f>
        <v>0</v>
      </c>
      <c r="K16" s="78">
        <f t="shared" si="4"/>
        <v>0</v>
      </c>
      <c r="L16" s="79"/>
      <c r="O16" s="47">
        <f>-SUM(J16:L16)</f>
        <v>0</v>
      </c>
    </row>
    <row r="17" spans="1:15" x14ac:dyDescent="0.35">
      <c r="C17" s="99"/>
      <c r="D17" s="17"/>
      <c r="E17" s="17"/>
      <c r="F17" s="17"/>
      <c r="G17" s="10"/>
      <c r="H17" s="17"/>
      <c r="I17" s="11"/>
      <c r="J17" s="31"/>
      <c r="K17" s="31"/>
      <c r="L17" s="29"/>
    </row>
    <row r="18" spans="1:15" x14ac:dyDescent="0.35">
      <c r="A18" s="46" t="s">
        <v>87</v>
      </c>
      <c r="C18" s="99"/>
      <c r="D18" s="18"/>
      <c r="E18" s="18"/>
      <c r="F18" s="18"/>
      <c r="G18" s="91"/>
      <c r="H18" s="18"/>
      <c r="I18" s="163"/>
      <c r="J18" s="31"/>
      <c r="K18" s="31"/>
      <c r="L18" s="29"/>
      <c r="M18" s="3" t="s">
        <v>49</v>
      </c>
      <c r="N18" s="39"/>
    </row>
    <row r="19" spans="1:15" x14ac:dyDescent="0.35">
      <c r="A19" s="46" t="s">
        <v>24</v>
      </c>
      <c r="C19" s="97">
        <v>6760.7221600000012</v>
      </c>
      <c r="D19" s="132">
        <f>'[4]November 2023'!$G$79</f>
        <v>-1552.53</v>
      </c>
      <c r="E19" s="132">
        <f>'[4]December 2023'!$G$79</f>
        <v>-2021.09</v>
      </c>
      <c r="F19" s="184">
        <f>'[4]January 2024'!$G$79</f>
        <v>-2573.3000000000002</v>
      </c>
      <c r="G19" s="16">
        <f>'[4]February 2024'!$G$79</f>
        <v>-2476.9</v>
      </c>
      <c r="H19" s="118">
        <f>'[4]March 2024'!$G$79</f>
        <v>-1712.5</v>
      </c>
      <c r="I19" s="164">
        <f>'[4]April 2024'!$G$79</f>
        <v>-1571.39</v>
      </c>
      <c r="J19" s="120">
        <f>'PCR Cycle 2'!K27*$M19</f>
        <v>-1571.4628500000001</v>
      </c>
      <c r="K19" s="41">
        <f>'PCR Cycle 2'!L27*$M19</f>
        <v>-2026.2838300000001</v>
      </c>
      <c r="L19" s="61">
        <f>'PCR Cycle 2'!M27*$M19</f>
        <v>-2975.8368300000002</v>
      </c>
      <c r="M19" s="72">
        <v>-1.0000000000000001E-5</v>
      </c>
      <c r="N19" s="4"/>
      <c r="O19" s="47">
        <f t="shared" ref="O19:O20" si="5">-SUM(J19:L19)</f>
        <v>6573.5835100000004</v>
      </c>
    </row>
    <row r="20" spans="1:15" x14ac:dyDescent="0.35">
      <c r="A20" s="46" t="s">
        <v>25</v>
      </c>
      <c r="C20" s="97">
        <v>0</v>
      </c>
      <c r="D20" s="132">
        <f>'[4]November 2023'!$G$84</f>
        <v>0</v>
      </c>
      <c r="E20" s="132">
        <f>'[4]December 2023'!$G$84</f>
        <v>0</v>
      </c>
      <c r="F20" s="184">
        <f>'[4]January 2024'!$G$84</f>
        <v>0</v>
      </c>
      <c r="G20" s="16">
        <f>'[4]February 2024'!$G$84</f>
        <v>0</v>
      </c>
      <c r="H20" s="118">
        <f>'[4]March 2024'!$G$84</f>
        <v>0</v>
      </c>
      <c r="I20" s="164">
        <f>'[4]April 2024'!$G$84</f>
        <v>0</v>
      </c>
      <c r="J20" s="120">
        <f>SUM('PCR Cycle 2'!K28:K31)*$M20</f>
        <v>0</v>
      </c>
      <c r="K20" s="41">
        <f>SUM('PCR Cycle 2'!L28:L31)*$M20</f>
        <v>0</v>
      </c>
      <c r="L20" s="61">
        <f>SUM('PCR Cycle 2'!M28:M31)*$M20</f>
        <v>0</v>
      </c>
      <c r="M20" s="72">
        <v>0</v>
      </c>
      <c r="N20" s="4"/>
      <c r="O20" s="47">
        <f t="shared" si="5"/>
        <v>0</v>
      </c>
    </row>
    <row r="21" spans="1:15" x14ac:dyDescent="0.35">
      <c r="C21" s="67"/>
      <c r="D21" s="68"/>
      <c r="E21" s="68"/>
      <c r="F21" s="68"/>
      <c r="G21" s="98"/>
      <c r="H21" s="68"/>
      <c r="I21" s="165"/>
      <c r="J21" s="56"/>
      <c r="K21" s="56"/>
      <c r="L21" s="13"/>
      <c r="N21" s="4"/>
    </row>
    <row r="22" spans="1:15" x14ac:dyDescent="0.35">
      <c r="A22" s="46" t="s">
        <v>89</v>
      </c>
      <c r="C22" s="36"/>
      <c r="D22" s="37"/>
      <c r="E22" s="37"/>
      <c r="F22" s="37"/>
      <c r="G22" s="36"/>
      <c r="H22" s="37"/>
      <c r="I22" s="168"/>
      <c r="J22" s="52"/>
      <c r="K22" s="52"/>
      <c r="L22" s="38"/>
    </row>
    <row r="23" spans="1:15" x14ac:dyDescent="0.35">
      <c r="A23" s="46" t="s">
        <v>24</v>
      </c>
      <c r="C23" s="97">
        <v>0</v>
      </c>
      <c r="D23" s="109">
        <v>0</v>
      </c>
      <c r="E23" s="109">
        <v>0</v>
      </c>
      <c r="F23" s="110">
        <v>0</v>
      </c>
      <c r="G23" s="16">
        <v>0</v>
      </c>
      <c r="H23" s="55">
        <v>0</v>
      </c>
      <c r="I23" s="162">
        <v>0</v>
      </c>
      <c r="J23" s="157">
        <v>0</v>
      </c>
      <c r="K23" s="139">
        <v>0</v>
      </c>
      <c r="L23" s="79"/>
      <c r="O23" s="47">
        <f t="shared" ref="O23:O26" si="6">-SUM(J23:L23)</f>
        <v>0</v>
      </c>
    </row>
    <row r="24" spans="1:15" x14ac:dyDescent="0.35">
      <c r="A24" s="46" t="s">
        <v>25</v>
      </c>
      <c r="C24" s="97">
        <v>0</v>
      </c>
      <c r="D24" s="109">
        <v>0</v>
      </c>
      <c r="E24" s="109">
        <v>0</v>
      </c>
      <c r="F24" s="110">
        <v>0</v>
      </c>
      <c r="G24" s="16">
        <v>0</v>
      </c>
      <c r="H24" s="55">
        <v>0</v>
      </c>
      <c r="I24" s="162">
        <v>0</v>
      </c>
      <c r="J24" s="157">
        <v>0</v>
      </c>
      <c r="K24" s="139">
        <v>0</v>
      </c>
      <c r="L24" s="79"/>
      <c r="N24" s="47"/>
      <c r="O24" s="47">
        <f t="shared" si="6"/>
        <v>0</v>
      </c>
    </row>
    <row r="25" spans="1:15" x14ac:dyDescent="0.35">
      <c r="C25" s="99"/>
      <c r="D25" s="18"/>
      <c r="E25" s="18"/>
      <c r="F25" s="18"/>
      <c r="G25" s="91"/>
      <c r="H25" s="18"/>
      <c r="I25" s="163"/>
      <c r="J25" s="56"/>
      <c r="K25" s="56"/>
      <c r="L25" s="13"/>
    </row>
    <row r="26" spans="1:15" ht="15" thickBot="1" x14ac:dyDescent="0.4">
      <c r="A26" s="3" t="s">
        <v>14</v>
      </c>
      <c r="B26" s="3"/>
      <c r="C26" s="103">
        <v>239.51</v>
      </c>
      <c r="D26" s="132">
        <v>-125.2</v>
      </c>
      <c r="E26" s="132">
        <v>-118.97</v>
      </c>
      <c r="F26" s="133">
        <v>-106.72</v>
      </c>
      <c r="G26" s="26">
        <v>-93.27</v>
      </c>
      <c r="H26" s="119">
        <v>-82.41</v>
      </c>
      <c r="I26" s="169">
        <v>-73.819999999999993</v>
      </c>
      <c r="J26" s="158">
        <f>ROUND((SUM(I33:I34)+SUM(I38:I39)+SUM(J29:J30)/2)*J$36,2)</f>
        <v>-65.650000000000006</v>
      </c>
      <c r="K26" s="141">
        <f>ROUND((SUM(J33:J34)+SUM(J38:J39)+SUM(K29:K30)/2)*K$36,2)</f>
        <v>-56.2</v>
      </c>
      <c r="L26" s="82"/>
      <c r="O26" s="47">
        <f t="shared" si="6"/>
        <v>121.85000000000001</v>
      </c>
    </row>
    <row r="27" spans="1:15" x14ac:dyDescent="0.35">
      <c r="C27" s="64"/>
      <c r="D27" s="145"/>
      <c r="E27" s="145"/>
      <c r="F27" s="146"/>
      <c r="G27" s="64"/>
      <c r="H27" s="33"/>
      <c r="I27" s="170"/>
      <c r="J27" s="34"/>
      <c r="K27" s="34"/>
      <c r="L27" s="60"/>
    </row>
    <row r="28" spans="1:15" x14ac:dyDescent="0.35">
      <c r="A28" s="46" t="s">
        <v>51</v>
      </c>
      <c r="C28" s="65"/>
      <c r="D28" s="146"/>
      <c r="E28" s="146"/>
      <c r="F28" s="146"/>
      <c r="G28" s="65"/>
      <c r="H28" s="35"/>
      <c r="I28" s="171"/>
      <c r="J28" s="34"/>
      <c r="K28" s="34"/>
      <c r="L28" s="60"/>
    </row>
    <row r="29" spans="1:15" x14ac:dyDescent="0.35">
      <c r="A29" s="46" t="s">
        <v>24</v>
      </c>
      <c r="C29" s="100">
        <f t="shared" ref="C29:L29" si="7">C23-C19</f>
        <v>-6760.7221600000012</v>
      </c>
      <c r="D29" s="41">
        <f t="shared" si="7"/>
        <v>1552.53</v>
      </c>
      <c r="E29" s="41">
        <f t="shared" si="7"/>
        <v>2021.09</v>
      </c>
      <c r="F29" s="108">
        <f t="shared" si="7"/>
        <v>2573.3000000000002</v>
      </c>
      <c r="G29" s="40">
        <f t="shared" si="7"/>
        <v>2476.9</v>
      </c>
      <c r="H29" s="41">
        <f t="shared" si="7"/>
        <v>1712.5</v>
      </c>
      <c r="I29" s="61">
        <f t="shared" si="7"/>
        <v>1571.39</v>
      </c>
      <c r="J29" s="120">
        <f t="shared" si="7"/>
        <v>1571.4628500000001</v>
      </c>
      <c r="K29" s="41">
        <f t="shared" si="7"/>
        <v>2026.2838300000001</v>
      </c>
      <c r="L29" s="61">
        <f t="shared" si="7"/>
        <v>2975.8368300000002</v>
      </c>
    </row>
    <row r="30" spans="1:15" x14ac:dyDescent="0.35">
      <c r="A30" s="46" t="s">
        <v>25</v>
      </c>
      <c r="C30" s="100">
        <f t="shared" ref="C30:L30" si="8">C24-C20</f>
        <v>0</v>
      </c>
      <c r="D30" s="41">
        <f t="shared" si="8"/>
        <v>0</v>
      </c>
      <c r="E30" s="41">
        <f t="shared" si="8"/>
        <v>0</v>
      </c>
      <c r="F30" s="108">
        <f t="shared" si="8"/>
        <v>0</v>
      </c>
      <c r="G30" s="40">
        <f t="shared" si="8"/>
        <v>0</v>
      </c>
      <c r="H30" s="41">
        <f t="shared" si="8"/>
        <v>0</v>
      </c>
      <c r="I30" s="61">
        <f t="shared" si="8"/>
        <v>0</v>
      </c>
      <c r="J30" s="120">
        <f t="shared" si="8"/>
        <v>0</v>
      </c>
      <c r="K30" s="41">
        <f t="shared" si="8"/>
        <v>0</v>
      </c>
      <c r="L30" s="61">
        <f t="shared" si="8"/>
        <v>0</v>
      </c>
    </row>
    <row r="31" spans="1:15" x14ac:dyDescent="0.35">
      <c r="C31" s="99"/>
      <c r="D31" s="17"/>
      <c r="E31" s="17"/>
      <c r="F31" s="17"/>
      <c r="G31" s="10"/>
      <c r="H31" s="17"/>
      <c r="I31" s="11"/>
      <c r="J31" s="17"/>
      <c r="K31" s="17"/>
      <c r="L31" s="11"/>
    </row>
    <row r="32" spans="1:15" ht="15" thickBot="1" x14ac:dyDescent="0.4">
      <c r="A32" s="46" t="s">
        <v>52</v>
      </c>
      <c r="C32" s="99"/>
      <c r="D32" s="17"/>
      <c r="E32" s="17"/>
      <c r="F32" s="17"/>
      <c r="G32" s="10"/>
      <c r="H32" s="17"/>
      <c r="I32" s="11"/>
      <c r="J32" s="17"/>
      <c r="K32" s="17"/>
      <c r="L32" s="11"/>
    </row>
    <row r="33" spans="1:15" x14ac:dyDescent="0.35">
      <c r="A33" s="46" t="s">
        <v>24</v>
      </c>
      <c r="B33" s="307">
        <v>-17610.89707000001</v>
      </c>
      <c r="C33" s="100">
        <f>B33+C29+B38</f>
        <v>-24371.619230000011</v>
      </c>
      <c r="D33" s="41">
        <f t="shared" ref="D33:L34" si="9">C33+D29+C38</f>
        <v>-22579.579230000014</v>
      </c>
      <c r="E33" s="41">
        <f t="shared" si="9"/>
        <v>-20683.679230000012</v>
      </c>
      <c r="F33" s="108">
        <f t="shared" si="9"/>
        <v>-18229.349230000014</v>
      </c>
      <c r="G33" s="40">
        <f t="shared" si="9"/>
        <v>-15859.169230000014</v>
      </c>
      <c r="H33" s="41">
        <f t="shared" si="9"/>
        <v>-14239.939230000015</v>
      </c>
      <c r="I33" s="61">
        <f t="shared" si="9"/>
        <v>-12750.949230000015</v>
      </c>
      <c r="J33" s="120">
        <f t="shared" si="9"/>
        <v>-11253.296380000014</v>
      </c>
      <c r="K33" s="41">
        <f t="shared" si="9"/>
        <v>-9292.6625500000137</v>
      </c>
      <c r="L33" s="61">
        <f t="shared" si="9"/>
        <v>-6373.0257200000133</v>
      </c>
    </row>
    <row r="34" spans="1:15" ht="15" thickBot="1" x14ac:dyDescent="0.4">
      <c r="A34" s="46" t="s">
        <v>25</v>
      </c>
      <c r="B34" s="308">
        <v>0</v>
      </c>
      <c r="C34" s="100">
        <f>B34+C30+B39</f>
        <v>0</v>
      </c>
      <c r="D34" s="41">
        <f t="shared" si="9"/>
        <v>0</v>
      </c>
      <c r="E34" s="41">
        <f t="shared" si="9"/>
        <v>0</v>
      </c>
      <c r="F34" s="108">
        <f t="shared" si="9"/>
        <v>0</v>
      </c>
      <c r="G34" s="40">
        <f t="shared" si="9"/>
        <v>0</v>
      </c>
      <c r="H34" s="41">
        <f t="shared" si="9"/>
        <v>0</v>
      </c>
      <c r="I34" s="61">
        <f t="shared" si="9"/>
        <v>0</v>
      </c>
      <c r="J34" s="120">
        <f t="shared" si="9"/>
        <v>0</v>
      </c>
      <c r="K34" s="41">
        <f t="shared" si="9"/>
        <v>0</v>
      </c>
      <c r="L34" s="61">
        <f t="shared" si="9"/>
        <v>0</v>
      </c>
    </row>
    <row r="35" spans="1:15" x14ac:dyDescent="0.35">
      <c r="C35" s="99"/>
      <c r="D35" s="17"/>
      <c r="E35" s="17"/>
      <c r="F35" s="17"/>
      <c r="G35" s="10"/>
      <c r="H35" s="17"/>
      <c r="I35" s="11"/>
      <c r="J35" s="17"/>
      <c r="K35" s="17"/>
      <c r="L35" s="11"/>
    </row>
    <row r="36" spans="1:15" x14ac:dyDescent="0.35">
      <c r="A36" s="39" t="s">
        <v>48</v>
      </c>
      <c r="B36" s="39"/>
      <c r="C36" s="104"/>
      <c r="D36" s="83">
        <f>+'PCR Cycle 2'!E50</f>
        <v>5.3602700000000003E-3</v>
      </c>
      <c r="E36" s="83">
        <f>+'PCR Cycle 2'!F50</f>
        <v>5.4837899999999997E-3</v>
      </c>
      <c r="F36" s="83">
        <f>+'PCR Cycle 2'!G50</f>
        <v>5.4684599999999996E-3</v>
      </c>
      <c r="G36" s="84">
        <f>+'PCR Cycle 2'!H50</f>
        <v>5.4552200000000002E-3</v>
      </c>
      <c r="H36" s="83">
        <f>+'PCR Cycle 2'!I50</f>
        <v>5.4582900000000002E-3</v>
      </c>
      <c r="I36" s="92">
        <f>+'PCR Cycle 2'!J50</f>
        <v>5.45277E-3</v>
      </c>
      <c r="J36" s="83">
        <f>+'PCR Cycle 2'!K50</f>
        <v>5.45277E-3</v>
      </c>
      <c r="K36" s="83">
        <f>+'PCR Cycle 2'!L50</f>
        <v>5.45277E-3</v>
      </c>
      <c r="L36" s="85"/>
    </row>
    <row r="37" spans="1:15" x14ac:dyDescent="0.35">
      <c r="A37" s="39" t="s">
        <v>36</v>
      </c>
      <c r="B37" s="39"/>
      <c r="C37" s="106"/>
      <c r="D37" s="83"/>
      <c r="E37" s="83"/>
      <c r="F37" s="83"/>
      <c r="G37" s="84"/>
      <c r="H37" s="83"/>
      <c r="I37" s="85"/>
      <c r="J37" s="83"/>
      <c r="K37" s="83"/>
      <c r="L37" s="85"/>
    </row>
    <row r="38" spans="1:15" x14ac:dyDescent="0.35">
      <c r="A38" s="46" t="s">
        <v>24</v>
      </c>
      <c r="C38" s="313">
        <v>239.51</v>
      </c>
      <c r="D38" s="41">
        <f t="shared" ref="D38:L39" si="10">ROUND((C33+C38+D29/2)*D$36,2)</f>
        <v>-125.19</v>
      </c>
      <c r="E38" s="41">
        <f t="shared" si="10"/>
        <v>-118.97</v>
      </c>
      <c r="F38" s="108">
        <f t="shared" si="10"/>
        <v>-106.72</v>
      </c>
      <c r="G38" s="40">
        <f t="shared" ref="G38:G39" si="11">ROUND((F33+F38+G29/2)*G$36,2)</f>
        <v>-93.27</v>
      </c>
      <c r="H38" s="120">
        <f t="shared" ref="H38:H39" si="12">ROUND((G33+G38+H29/2)*H$36,2)</f>
        <v>-82.4</v>
      </c>
      <c r="I38" s="49">
        <f t="shared" ref="I38:I39" si="13">ROUND((H33+H38+I29/2)*I$36,2)</f>
        <v>-73.81</v>
      </c>
      <c r="J38" s="159">
        <f t="shared" ref="J38:J39" si="14">ROUND((I33+I38+J29/2)*J$36,2)</f>
        <v>-65.650000000000006</v>
      </c>
      <c r="K38" s="108">
        <f t="shared" ref="K38:K39" si="15">ROUND((J33+J38+K29/2)*K$36,2)</f>
        <v>-56.2</v>
      </c>
      <c r="L38" s="61">
        <f t="shared" si="10"/>
        <v>0</v>
      </c>
      <c r="O38" s="47">
        <f t="shared" ref="O38:O39" si="16">-SUM(J38:L38)</f>
        <v>121.85000000000001</v>
      </c>
    </row>
    <row r="39" spans="1:15" ht="15" thickBot="1" x14ac:dyDescent="0.4">
      <c r="A39" s="46" t="s">
        <v>25</v>
      </c>
      <c r="C39" s="313">
        <v>0</v>
      </c>
      <c r="D39" s="41">
        <f t="shared" si="10"/>
        <v>0</v>
      </c>
      <c r="E39" s="41">
        <f t="shared" si="10"/>
        <v>0</v>
      </c>
      <c r="F39" s="108">
        <f t="shared" si="10"/>
        <v>0</v>
      </c>
      <c r="G39" s="40">
        <f t="shared" si="11"/>
        <v>0</v>
      </c>
      <c r="H39" s="120">
        <f t="shared" si="12"/>
        <v>0</v>
      </c>
      <c r="I39" s="49">
        <f t="shared" si="13"/>
        <v>0</v>
      </c>
      <c r="J39" s="159">
        <f t="shared" si="14"/>
        <v>0</v>
      </c>
      <c r="K39" s="108">
        <f t="shared" si="15"/>
        <v>0</v>
      </c>
      <c r="L39" s="61">
        <f t="shared" si="10"/>
        <v>0</v>
      </c>
      <c r="O39" s="47">
        <f t="shared" si="16"/>
        <v>0</v>
      </c>
    </row>
    <row r="40" spans="1:15" ht="15.5" thickTop="1" thickBot="1" x14ac:dyDescent="0.4">
      <c r="A40" s="54" t="s">
        <v>22</v>
      </c>
      <c r="B40" s="54"/>
      <c r="C40" s="107">
        <v>0</v>
      </c>
      <c r="D40" s="42">
        <f t="shared" ref="D40:I40" si="17">SUM(D38:D39)+SUM(D33:D34)-D43</f>
        <v>0</v>
      </c>
      <c r="E40" s="42">
        <f t="shared" si="17"/>
        <v>0</v>
      </c>
      <c r="F40" s="50">
        <f t="shared" ref="F40:H40" si="18">SUM(F38:F39)+SUM(F33:F34)-F43</f>
        <v>0</v>
      </c>
      <c r="G40" s="143">
        <f t="shared" si="18"/>
        <v>0</v>
      </c>
      <c r="H40" s="50">
        <f t="shared" si="18"/>
        <v>0</v>
      </c>
      <c r="I40" s="62">
        <f t="shared" si="17"/>
        <v>0</v>
      </c>
      <c r="J40" s="160">
        <f t="shared" ref="J40:L40" si="19">SUM(J38:J39)+SUM(J33:J34)-J43</f>
        <v>0</v>
      </c>
      <c r="K40" s="50">
        <f t="shared" si="19"/>
        <v>0</v>
      </c>
      <c r="L40" s="62">
        <f t="shared" si="19"/>
        <v>0</v>
      </c>
    </row>
    <row r="41" spans="1:15" ht="15.5" thickTop="1" thickBot="1" x14ac:dyDescent="0.4">
      <c r="A41" s="54" t="s">
        <v>23</v>
      </c>
      <c r="B41" s="54"/>
      <c r="C41" s="107">
        <v>0</v>
      </c>
      <c r="D41" s="42">
        <f t="shared" ref="D41:I41" si="20">SUM(D38:D39)-D26</f>
        <v>1.0000000000005116E-2</v>
      </c>
      <c r="E41" s="42">
        <f t="shared" si="20"/>
        <v>0</v>
      </c>
      <c r="F41" s="50">
        <f t="shared" ref="F41:H41" si="21">SUM(F38:F39)-F26</f>
        <v>0</v>
      </c>
      <c r="G41" s="143">
        <f t="shared" si="21"/>
        <v>0</v>
      </c>
      <c r="H41" s="50">
        <f t="shared" si="21"/>
        <v>9.9999999999909051E-3</v>
      </c>
      <c r="I41" s="62">
        <f t="shared" si="20"/>
        <v>9.9999999999909051E-3</v>
      </c>
      <c r="J41" s="161">
        <f t="shared" ref="J41:L41" si="22">SUM(J38:J39)-J26</f>
        <v>0</v>
      </c>
      <c r="K41" s="42">
        <f t="shared" si="22"/>
        <v>0</v>
      </c>
      <c r="L41" s="42">
        <f t="shared" si="22"/>
        <v>0</v>
      </c>
    </row>
    <row r="42" spans="1:15" ht="15.5" thickTop="1" thickBot="1" x14ac:dyDescent="0.4">
      <c r="C42" s="99"/>
      <c r="D42" s="17"/>
      <c r="E42" s="17"/>
      <c r="F42" s="17"/>
      <c r="G42" s="10"/>
      <c r="H42" s="17"/>
      <c r="I42" s="11"/>
      <c r="J42" s="17"/>
      <c r="K42" s="17"/>
      <c r="L42" s="11"/>
    </row>
    <row r="43" spans="1:15" ht="15" thickBot="1" x14ac:dyDescent="0.4">
      <c r="A43" s="46" t="s">
        <v>35</v>
      </c>
      <c r="B43" s="116">
        <f>SUM(B33:B34)</f>
        <v>-17610.89707000001</v>
      </c>
      <c r="C43" s="100">
        <f t="shared" ref="C43:L43" si="23">(C16-SUM(C19:C20))+SUM(C38:C39)+B43</f>
        <v>-24132.109230000009</v>
      </c>
      <c r="D43" s="41">
        <f t="shared" si="23"/>
        <v>-22704.769230000009</v>
      </c>
      <c r="E43" s="41">
        <f t="shared" si="23"/>
        <v>-20802.64923000001</v>
      </c>
      <c r="F43" s="108">
        <f t="shared" si="23"/>
        <v>-18336.069230000008</v>
      </c>
      <c r="G43" s="40">
        <f t="shared" si="23"/>
        <v>-15952.439230000007</v>
      </c>
      <c r="H43" s="41">
        <f t="shared" si="23"/>
        <v>-14322.339230000007</v>
      </c>
      <c r="I43" s="61">
        <f t="shared" si="23"/>
        <v>-12824.759230000007</v>
      </c>
      <c r="J43" s="159">
        <f t="shared" si="23"/>
        <v>-11318.946380000007</v>
      </c>
      <c r="K43" s="108">
        <f t="shared" si="23"/>
        <v>-9348.8625500000071</v>
      </c>
      <c r="L43" s="61">
        <f t="shared" si="23"/>
        <v>-6373.0257200000069</v>
      </c>
    </row>
    <row r="44" spans="1:15" x14ac:dyDescent="0.35">
      <c r="A44" s="46" t="s">
        <v>12</v>
      </c>
      <c r="C44" s="117"/>
      <c r="D44" s="17"/>
      <c r="E44" s="17"/>
      <c r="F44" s="17"/>
      <c r="G44" s="10"/>
      <c r="H44" s="17"/>
      <c r="I44" s="11"/>
      <c r="J44" s="17"/>
      <c r="K44" s="17"/>
      <c r="L44" s="11"/>
    </row>
    <row r="45" spans="1:15" ht="15" thickBot="1" x14ac:dyDescent="0.4">
      <c r="A45" s="37"/>
      <c r="B45" s="37"/>
      <c r="C45" s="144"/>
      <c r="D45" s="44"/>
      <c r="E45" s="44"/>
      <c r="F45" s="44"/>
      <c r="G45" s="43"/>
      <c r="H45" s="44"/>
      <c r="I45" s="45"/>
      <c r="J45" s="44"/>
      <c r="K45" s="44"/>
      <c r="L45" s="45"/>
    </row>
    <row r="47" spans="1:15" x14ac:dyDescent="0.35">
      <c r="A47" s="69" t="s">
        <v>11</v>
      </c>
      <c r="B47" s="69"/>
      <c r="C47" s="69"/>
    </row>
    <row r="48" spans="1:15" x14ac:dyDescent="0.35">
      <c r="A48" s="362" t="s">
        <v>169</v>
      </c>
      <c r="B48" s="362"/>
      <c r="C48" s="362"/>
      <c r="D48" s="362"/>
      <c r="E48" s="362"/>
      <c r="F48" s="362"/>
      <c r="G48" s="362"/>
      <c r="H48" s="362"/>
      <c r="I48" s="362"/>
      <c r="J48" s="178"/>
      <c r="K48" s="178"/>
      <c r="L48" s="178"/>
    </row>
    <row r="49" spans="1:12" ht="58.5" customHeight="1" x14ac:dyDescent="0.35">
      <c r="A49" s="350" t="s">
        <v>299</v>
      </c>
      <c r="B49" s="350"/>
      <c r="C49" s="350"/>
      <c r="D49" s="350"/>
      <c r="E49" s="350"/>
      <c r="F49" s="350"/>
      <c r="G49" s="350"/>
      <c r="H49" s="350"/>
      <c r="I49" s="350"/>
      <c r="J49" s="350"/>
      <c r="K49" s="350"/>
    </row>
    <row r="50" spans="1:12" x14ac:dyDescent="0.35">
      <c r="A50" s="350" t="s">
        <v>303</v>
      </c>
      <c r="B50" s="350"/>
      <c r="C50" s="350"/>
      <c r="D50" s="350"/>
      <c r="E50" s="350"/>
      <c r="F50" s="350"/>
      <c r="G50" s="350"/>
      <c r="H50" s="350"/>
      <c r="I50" s="350"/>
      <c r="J50" s="350"/>
      <c r="K50" s="361"/>
      <c r="L50" s="178"/>
    </row>
    <row r="51" spans="1:12" x14ac:dyDescent="0.35">
      <c r="A51" s="63" t="s">
        <v>284</v>
      </c>
      <c r="B51" s="63"/>
      <c r="C51" s="63"/>
      <c r="D51" s="63"/>
      <c r="E51" s="39"/>
      <c r="F51" s="39"/>
      <c r="G51" s="39"/>
      <c r="H51" s="39"/>
      <c r="I51" s="39"/>
      <c r="J51" s="334"/>
      <c r="K51" s="39"/>
    </row>
    <row r="52" spans="1:12" x14ac:dyDescent="0.35">
      <c r="A52" s="3" t="s">
        <v>123</v>
      </c>
      <c r="B52" s="3"/>
      <c r="C52" s="3"/>
      <c r="I52" s="4"/>
    </row>
    <row r="53" spans="1:12" x14ac:dyDescent="0.35">
      <c r="A53" s="3" t="s">
        <v>181</v>
      </c>
      <c r="B53" s="63"/>
      <c r="C53" s="63"/>
      <c r="D53" s="39"/>
      <c r="E53" s="39"/>
      <c r="F53" s="39"/>
      <c r="G53" s="39"/>
      <c r="H53" s="39"/>
      <c r="I53" s="39"/>
    </row>
    <row r="54" spans="1:12" x14ac:dyDescent="0.35">
      <c r="A54" s="3"/>
      <c r="B54" s="3"/>
      <c r="C54" s="3"/>
    </row>
  </sheetData>
  <mergeCells count="6">
    <mergeCell ref="A50:K50"/>
    <mergeCell ref="D14:F14"/>
    <mergeCell ref="G14:I14"/>
    <mergeCell ref="J14:L14"/>
    <mergeCell ref="A48:I48"/>
    <mergeCell ref="A49:K49"/>
  </mergeCells>
  <pageMargins left="0.2" right="0.2" top="0.75" bottom="0.25" header="0.3" footer="0.3"/>
  <pageSetup scale="55" orientation="landscape" r:id="rId1"/>
  <headerFooter>
    <oddHeader>&amp;C&amp;F &amp;A&amp;R&amp;"Arial"&amp;10&amp;K000000CONFIDENTIAL</oddHeader>
    <oddFooter>&amp;R&amp;1#&amp;"Calibri"&amp;10&amp;KA80000Internal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pageSetUpPr fitToPage="1"/>
  </sheetPr>
  <dimension ref="A1:AH66"/>
  <sheetViews>
    <sheetView zoomScale="85" zoomScaleNormal="85" workbookViewId="0">
      <selection activeCell="E2" sqref="E2"/>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customWidth="1" outlineLevel="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06/01/2024</v>
      </c>
      <c r="B1" s="3"/>
      <c r="C1" s="3"/>
    </row>
    <row r="2" spans="1:34" x14ac:dyDescent="0.35">
      <c r="D2" s="3" t="s">
        <v>171</v>
      </c>
    </row>
    <row r="3" spans="1:34" ht="29" x14ac:dyDescent="0.35">
      <c r="D3" s="48" t="s">
        <v>45</v>
      </c>
      <c r="E3" s="70" t="s">
        <v>17</v>
      </c>
      <c r="F3" s="48" t="s">
        <v>3</v>
      </c>
      <c r="G3" s="70" t="s">
        <v>54</v>
      </c>
      <c r="H3" s="48" t="s">
        <v>10</v>
      </c>
      <c r="I3" s="48" t="s">
        <v>18</v>
      </c>
      <c r="R3" s="48"/>
    </row>
    <row r="4" spans="1:34" x14ac:dyDescent="0.35">
      <c r="A4" s="20" t="s">
        <v>24</v>
      </c>
      <c r="B4" s="20"/>
      <c r="C4" s="20"/>
      <c r="D4" s="22">
        <f>SUM(C16:L16)</f>
        <v>-56021.528119999995</v>
      </c>
      <c r="E4" s="22">
        <f>SUM(C23:K23)</f>
        <v>0</v>
      </c>
      <c r="F4" s="22">
        <f>E4-D4</f>
        <v>56021.528119999995</v>
      </c>
      <c r="G4" s="22">
        <f>+B39</f>
        <v>-129037.03408000007</v>
      </c>
      <c r="H4" s="22">
        <f>SUM(C47:K47)</f>
        <v>-3776.79</v>
      </c>
      <c r="I4" s="25">
        <f>SUM(F4:H4)</f>
        <v>-76792.295960000061</v>
      </c>
      <c r="J4" s="47">
        <f>+I4-L39</f>
        <v>0</v>
      </c>
      <c r="M4" s="47"/>
    </row>
    <row r="5" spans="1:34" x14ac:dyDescent="0.35">
      <c r="A5" s="20" t="s">
        <v>104</v>
      </c>
      <c r="B5" s="20"/>
      <c r="C5" s="20"/>
      <c r="D5" s="22">
        <f t="shared" ref="D5:D7" si="0">SUM(C17:L17)</f>
        <v>0</v>
      </c>
      <c r="E5" s="22">
        <f t="shared" ref="E5:E7" si="1">SUM(C24:K24)</f>
        <v>0</v>
      </c>
      <c r="F5" s="22">
        <f t="shared" ref="F5:F7" si="2">E5-D5</f>
        <v>0</v>
      </c>
      <c r="G5" s="22">
        <f t="shared" ref="G5:G7" si="3">+B40</f>
        <v>-319.35000000000065</v>
      </c>
      <c r="H5" s="22">
        <f t="shared" ref="H5:H7" si="4">SUM(C48:K48)</f>
        <v>-8.85</v>
      </c>
      <c r="I5" s="25">
        <f t="shared" ref="I5:I7" si="5">SUM(F5:H5)</f>
        <v>-328.20000000000067</v>
      </c>
      <c r="J5" s="47">
        <f t="shared" ref="J5:J7" si="6">+I5-L40</f>
        <v>0</v>
      </c>
      <c r="M5" s="47"/>
    </row>
    <row r="6" spans="1:34" x14ac:dyDescent="0.35">
      <c r="A6" s="20" t="s">
        <v>105</v>
      </c>
      <c r="B6" s="20"/>
      <c r="C6" s="20"/>
      <c r="D6" s="22">
        <f t="shared" si="0"/>
        <v>0</v>
      </c>
      <c r="E6" s="22">
        <f t="shared" si="1"/>
        <v>0</v>
      </c>
      <c r="F6" s="22">
        <f t="shared" si="2"/>
        <v>0</v>
      </c>
      <c r="G6" s="22">
        <f t="shared" si="3"/>
        <v>-244.71000000000049</v>
      </c>
      <c r="H6" s="22">
        <f t="shared" si="4"/>
        <v>-6.7800000000000011</v>
      </c>
      <c r="I6" s="25">
        <f t="shared" si="5"/>
        <v>-251.49000000000049</v>
      </c>
      <c r="J6" s="47">
        <f t="shared" si="6"/>
        <v>0</v>
      </c>
      <c r="M6" s="47"/>
    </row>
    <row r="7" spans="1:34" x14ac:dyDescent="0.35">
      <c r="A7" s="20" t="s">
        <v>106</v>
      </c>
      <c r="B7" s="20"/>
      <c r="C7" s="20"/>
      <c r="D7" s="22">
        <f t="shared" si="0"/>
        <v>0</v>
      </c>
      <c r="E7" s="22">
        <f t="shared" si="1"/>
        <v>0</v>
      </c>
      <c r="F7" s="22">
        <f t="shared" si="2"/>
        <v>0</v>
      </c>
      <c r="G7" s="22">
        <f t="shared" si="3"/>
        <v>937.22000000000014</v>
      </c>
      <c r="H7" s="22">
        <f t="shared" si="4"/>
        <v>25.97</v>
      </c>
      <c r="I7" s="25">
        <f t="shared" si="5"/>
        <v>963.19000000000017</v>
      </c>
      <c r="J7" s="47">
        <f t="shared" si="6"/>
        <v>0</v>
      </c>
      <c r="M7" s="47"/>
    </row>
    <row r="8" spans="1:34" ht="15" thickBot="1" x14ac:dyDescent="0.4">
      <c r="A8" s="20" t="s">
        <v>107</v>
      </c>
      <c r="B8" s="20"/>
      <c r="C8" s="20"/>
      <c r="D8" s="22">
        <f>SUM(C20:L20)</f>
        <v>0</v>
      </c>
      <c r="E8" s="22">
        <f>SUM(C27:K27)</f>
        <v>0</v>
      </c>
      <c r="F8" s="22">
        <f>E8-D8</f>
        <v>0</v>
      </c>
      <c r="G8" s="22">
        <f>+B43</f>
        <v>-373.15000000000026</v>
      </c>
      <c r="H8" s="22">
        <f>SUM(C51:K51)</f>
        <v>-10.350000000000001</v>
      </c>
      <c r="I8" s="25">
        <f>SUM(F8:H8)</f>
        <v>-383.50000000000028</v>
      </c>
      <c r="J8" s="47">
        <f>+I8-L43</f>
        <v>0</v>
      </c>
      <c r="M8" s="47"/>
    </row>
    <row r="9" spans="1:34" ht="15.5" thickTop="1" thickBot="1" x14ac:dyDescent="0.4">
      <c r="D9" s="27">
        <f t="shared" ref="D9" si="7">SUM(D4:D8)</f>
        <v>-56021.528119999995</v>
      </c>
      <c r="E9" s="27">
        <f>SUM(E4:E8)</f>
        <v>0</v>
      </c>
      <c r="F9" s="27">
        <f>SUM(F4:F8)</f>
        <v>56021.528119999995</v>
      </c>
      <c r="G9" s="27">
        <f>SUM(G4:G8)</f>
        <v>-129037.02408000008</v>
      </c>
      <c r="H9" s="27">
        <f>SUM(H4:H8)</f>
        <v>-3776.8</v>
      </c>
      <c r="I9" s="27">
        <f>SUM(I4:I8)</f>
        <v>-76792.295960000061</v>
      </c>
      <c r="S9" s="5"/>
    </row>
    <row r="10" spans="1:34" ht="15.5" thickTop="1" thickBot="1" x14ac:dyDescent="0.4">
      <c r="U10" s="4"/>
      <c r="V10" s="5"/>
    </row>
    <row r="11" spans="1:34" ht="116.5" thickBot="1" x14ac:dyDescent="0.4">
      <c r="B11" s="115" t="str">
        <f>+'PCR Cycle 2'!B14</f>
        <v>Cumulative Over/Under Carryover From 12/01/2023 Filing</v>
      </c>
      <c r="C11" s="149" t="str">
        <f>+'PCR Cycle 2'!C14</f>
        <v>Reverse November 2023 - January 2024 Forecast From 12/01/2023 Filing</v>
      </c>
      <c r="D11" s="351" t="s">
        <v>32</v>
      </c>
      <c r="E11" s="351"/>
      <c r="F11" s="352"/>
      <c r="G11" s="358" t="s">
        <v>32</v>
      </c>
      <c r="H11" s="359"/>
      <c r="I11" s="360"/>
      <c r="J11" s="347" t="s">
        <v>8</v>
      </c>
      <c r="K11" s="348"/>
      <c r="L11" s="349"/>
      <c r="O11" s="290" t="s">
        <v>237</v>
      </c>
    </row>
    <row r="12" spans="1:34" x14ac:dyDescent="0.35">
      <c r="A12" s="46" t="s">
        <v>88</v>
      </c>
      <c r="C12" s="105"/>
      <c r="D12" s="19">
        <f>+'PCR Cycle 2'!E15</f>
        <v>45260</v>
      </c>
      <c r="E12" s="19">
        <f t="shared" ref="E12:L12" si="8">EOMONTH(D12,1)</f>
        <v>45291</v>
      </c>
      <c r="F12" s="19">
        <f t="shared" si="8"/>
        <v>45322</v>
      </c>
      <c r="G12" s="14">
        <f t="shared" si="8"/>
        <v>45351</v>
      </c>
      <c r="H12" s="19">
        <f t="shared" si="8"/>
        <v>45382</v>
      </c>
      <c r="I12" s="15">
        <f t="shared" si="8"/>
        <v>45412</v>
      </c>
      <c r="J12" s="19">
        <f t="shared" si="8"/>
        <v>45443</v>
      </c>
      <c r="K12" s="19">
        <f t="shared" si="8"/>
        <v>45473</v>
      </c>
      <c r="L12" s="15">
        <f t="shared" si="8"/>
        <v>45504</v>
      </c>
      <c r="Y12" s="1"/>
      <c r="Z12" s="1"/>
      <c r="AA12" s="1"/>
      <c r="AB12" s="1"/>
      <c r="AC12" s="1"/>
      <c r="AD12" s="1"/>
      <c r="AE12" s="1"/>
      <c r="AF12" s="1"/>
      <c r="AG12" s="1"/>
      <c r="AH12" s="1"/>
    </row>
    <row r="13" spans="1:34" x14ac:dyDescent="0.35">
      <c r="A13" s="46" t="s">
        <v>5</v>
      </c>
      <c r="C13" s="97">
        <v>0</v>
      </c>
      <c r="D13" s="109">
        <f>SUM(D23:D27)</f>
        <v>0</v>
      </c>
      <c r="E13" s="109">
        <f t="shared" ref="E13:H13" si="9">SUM(E23:E27)</f>
        <v>0</v>
      </c>
      <c r="F13" s="110">
        <f t="shared" si="9"/>
        <v>0</v>
      </c>
      <c r="G13" s="16">
        <f t="shared" si="9"/>
        <v>0</v>
      </c>
      <c r="H13" s="55">
        <f t="shared" si="9"/>
        <v>0</v>
      </c>
      <c r="I13" s="162">
        <f>+I23+I27</f>
        <v>0</v>
      </c>
      <c r="J13" s="155">
        <f t="shared" ref="J13:K13" si="10">+J23+J27</f>
        <v>0</v>
      </c>
      <c r="K13" s="78">
        <f t="shared" si="10"/>
        <v>0</v>
      </c>
      <c r="L13" s="79"/>
      <c r="O13" s="47">
        <f>-SUM(J13:L13)</f>
        <v>0</v>
      </c>
    </row>
    <row r="14" spans="1:34" x14ac:dyDescent="0.35">
      <c r="C14" s="99"/>
      <c r="D14" s="17"/>
      <c r="E14" s="17"/>
      <c r="F14" s="17"/>
      <c r="G14" s="10"/>
      <c r="H14" s="17"/>
      <c r="I14" s="11"/>
      <c r="J14" s="31"/>
      <c r="K14" s="31"/>
      <c r="L14" s="29"/>
    </row>
    <row r="15" spans="1:34" x14ac:dyDescent="0.35">
      <c r="A15" s="46" t="s">
        <v>87</v>
      </c>
      <c r="C15" s="99"/>
      <c r="D15" s="18"/>
      <c r="E15" s="18"/>
      <c r="F15" s="18"/>
      <c r="G15" s="91"/>
      <c r="H15" s="18"/>
      <c r="I15" s="163"/>
      <c r="J15" s="31"/>
      <c r="K15" s="31"/>
      <c r="L15" s="29"/>
      <c r="M15" s="3" t="s">
        <v>49</v>
      </c>
      <c r="N15" s="39"/>
    </row>
    <row r="16" spans="1:34" x14ac:dyDescent="0.35">
      <c r="A16" s="46" t="s">
        <v>24</v>
      </c>
      <c r="C16" s="97">
        <v>81128.665919999999</v>
      </c>
      <c r="D16" s="132">
        <f>'[4]November 2023'!$G112</f>
        <v>-18629.009999999998</v>
      </c>
      <c r="E16" s="132">
        <f>'[4]December 2023'!$G112</f>
        <v>-24246.54</v>
      </c>
      <c r="F16" s="184">
        <f>'[4]January 2024'!$G112</f>
        <v>-30853.1</v>
      </c>
      <c r="G16" s="16">
        <f>'[4]February 2024'!$G112</f>
        <v>-23915.93</v>
      </c>
      <c r="H16" s="118">
        <f>'[4]March 2024'!$G112</f>
        <v>-6924.89</v>
      </c>
      <c r="I16" s="164">
        <f>'[4]April 2024'!$G112</f>
        <v>-6286.39</v>
      </c>
      <c r="J16" s="120">
        <f>'PCR Cycle 2'!K27*$M16</f>
        <v>-6285.8514000000005</v>
      </c>
      <c r="K16" s="41">
        <f>'PCR Cycle 2'!L27*$M16</f>
        <v>-8105.1353200000003</v>
      </c>
      <c r="L16" s="61">
        <f>'PCR Cycle 2'!M27*$M16</f>
        <v>-11903.347320000001</v>
      </c>
      <c r="M16" s="72">
        <v>-4.0000000000000003E-5</v>
      </c>
      <c r="N16" s="4"/>
      <c r="O16" s="47">
        <f>-SUM(J16:L16)</f>
        <v>26294.334040000002</v>
      </c>
    </row>
    <row r="17" spans="1:15" x14ac:dyDescent="0.35">
      <c r="A17" s="46" t="s">
        <v>132</v>
      </c>
      <c r="C17" s="97">
        <v>0</v>
      </c>
      <c r="D17" s="132">
        <f>'[4]November 2023'!$G113</f>
        <v>0</v>
      </c>
      <c r="E17" s="132">
        <f>'[4]December 2023'!$G113</f>
        <v>0</v>
      </c>
      <c r="F17" s="184">
        <f>'[4]January 2024'!$G113</f>
        <v>0</v>
      </c>
      <c r="G17" s="16">
        <f>'[4]February 2024'!$G113</f>
        <v>0</v>
      </c>
      <c r="H17" s="118">
        <f>'[4]March 2024'!$G113</f>
        <v>0</v>
      </c>
      <c r="I17" s="164">
        <f>'[4]April 2024'!$G113</f>
        <v>0</v>
      </c>
      <c r="J17" s="120">
        <f>'PCR Cycle 2'!K28*$M17</f>
        <v>0</v>
      </c>
      <c r="K17" s="41">
        <f>'PCR Cycle 2'!L28*$M17</f>
        <v>0</v>
      </c>
      <c r="L17" s="61">
        <f>'PCR Cycle 2'!M28*$M17</f>
        <v>0</v>
      </c>
      <c r="M17" s="72">
        <v>0</v>
      </c>
      <c r="N17" s="4"/>
      <c r="O17" s="47">
        <f t="shared" ref="O17:O20" si="11">-SUM(J17:L17)</f>
        <v>0</v>
      </c>
    </row>
    <row r="18" spans="1:15" x14ac:dyDescent="0.35">
      <c r="A18" s="46" t="s">
        <v>133</v>
      </c>
      <c r="C18" s="97">
        <v>0</v>
      </c>
      <c r="D18" s="132">
        <f>'[4]November 2023'!$G114</f>
        <v>0</v>
      </c>
      <c r="E18" s="132">
        <f>'[4]December 2023'!$G114</f>
        <v>0</v>
      </c>
      <c r="F18" s="184">
        <f>'[4]January 2024'!$G114</f>
        <v>0</v>
      </c>
      <c r="G18" s="16">
        <f>'[4]February 2024'!$G114</f>
        <v>0</v>
      </c>
      <c r="H18" s="118">
        <f>'[4]March 2024'!$G114</f>
        <v>0</v>
      </c>
      <c r="I18" s="164">
        <f>'[4]April 2024'!$G114</f>
        <v>0</v>
      </c>
      <c r="J18" s="120">
        <f>'PCR Cycle 2'!K29*$M18</f>
        <v>0</v>
      </c>
      <c r="K18" s="41">
        <f>'PCR Cycle 2'!L29*$M18</f>
        <v>0</v>
      </c>
      <c r="L18" s="61">
        <f>'PCR Cycle 2'!M29*$M18</f>
        <v>0</v>
      </c>
      <c r="M18" s="72">
        <v>0</v>
      </c>
      <c r="N18" s="4"/>
      <c r="O18" s="47">
        <f t="shared" si="11"/>
        <v>0</v>
      </c>
    </row>
    <row r="19" spans="1:15" x14ac:dyDescent="0.35">
      <c r="A19" s="46" t="s">
        <v>134</v>
      </c>
      <c r="C19" s="97">
        <v>0</v>
      </c>
      <c r="D19" s="132">
        <f>'[4]November 2023'!$G115</f>
        <v>0</v>
      </c>
      <c r="E19" s="132">
        <f>'[4]December 2023'!$G115</f>
        <v>0</v>
      </c>
      <c r="F19" s="184">
        <f>'[4]January 2024'!$G115</f>
        <v>0</v>
      </c>
      <c r="G19" s="16">
        <f>'[4]February 2024'!$G115</f>
        <v>0</v>
      </c>
      <c r="H19" s="118">
        <f>'[4]March 2024'!$G115</f>
        <v>0</v>
      </c>
      <c r="I19" s="164">
        <f>'[4]April 2024'!$G115</f>
        <v>0</v>
      </c>
      <c r="J19" s="120">
        <f>'PCR Cycle 2'!K30*$M19</f>
        <v>0</v>
      </c>
      <c r="K19" s="41">
        <f>'PCR Cycle 2'!L30*$M19</f>
        <v>0</v>
      </c>
      <c r="L19" s="61">
        <f>'PCR Cycle 2'!M30*$M19</f>
        <v>0</v>
      </c>
      <c r="M19" s="72">
        <v>0</v>
      </c>
      <c r="N19" s="4"/>
      <c r="O19" s="47">
        <f t="shared" si="11"/>
        <v>0</v>
      </c>
    </row>
    <row r="20" spans="1:15" x14ac:dyDescent="0.35">
      <c r="A20" s="46" t="s">
        <v>135</v>
      </c>
      <c r="C20" s="97">
        <v>0</v>
      </c>
      <c r="D20" s="132">
        <f>'[4]November 2023'!$G116</f>
        <v>0</v>
      </c>
      <c r="E20" s="132">
        <f>'[4]December 2023'!$G116</f>
        <v>0</v>
      </c>
      <c r="F20" s="184">
        <f>'[4]January 2024'!$G116</f>
        <v>0</v>
      </c>
      <c r="G20" s="16">
        <f>'[4]February 2024'!$G116</f>
        <v>0</v>
      </c>
      <c r="H20" s="118">
        <f>'[4]March 2024'!$G116</f>
        <v>0</v>
      </c>
      <c r="I20" s="164">
        <f>'[4]April 2024'!$G116</f>
        <v>0</v>
      </c>
      <c r="J20" s="120">
        <f>SUM('PCR Cycle 2'!K28:K31)*$M20</f>
        <v>0</v>
      </c>
      <c r="K20" s="41">
        <f>SUM('PCR Cycle 2'!L28:L31)*$M20</f>
        <v>0</v>
      </c>
      <c r="L20" s="61">
        <f>SUM('PCR Cycle 2'!M28:M31)*$M20</f>
        <v>0</v>
      </c>
      <c r="M20" s="72">
        <v>0</v>
      </c>
      <c r="N20" s="4"/>
      <c r="O20" s="47">
        <f t="shared" si="11"/>
        <v>0</v>
      </c>
    </row>
    <row r="21" spans="1:15" x14ac:dyDescent="0.35">
      <c r="C21" s="67"/>
      <c r="D21" s="68"/>
      <c r="E21" s="68"/>
      <c r="F21" s="68"/>
      <c r="G21" s="98"/>
      <c r="H21" s="68"/>
      <c r="I21" s="165"/>
      <c r="J21" s="56"/>
      <c r="K21" s="56"/>
      <c r="L21" s="13"/>
      <c r="N21" s="4"/>
    </row>
    <row r="22" spans="1:15" x14ac:dyDescent="0.35">
      <c r="A22" s="46" t="s">
        <v>89</v>
      </c>
      <c r="C22" s="36"/>
      <c r="D22" s="37"/>
      <c r="E22" s="37"/>
      <c r="F22" s="37"/>
      <c r="G22" s="36"/>
      <c r="H22" s="37"/>
      <c r="I22" s="168"/>
      <c r="J22" s="52"/>
      <c r="K22" s="52"/>
      <c r="L22" s="38"/>
    </row>
    <row r="23" spans="1:15" x14ac:dyDescent="0.35">
      <c r="A23" s="46" t="s">
        <v>24</v>
      </c>
      <c r="C23" s="97">
        <v>0</v>
      </c>
      <c r="D23" s="109">
        <v>0</v>
      </c>
      <c r="E23" s="109">
        <v>0</v>
      </c>
      <c r="F23" s="110">
        <v>0</v>
      </c>
      <c r="G23" s="16">
        <v>0</v>
      </c>
      <c r="H23" s="55">
        <v>0</v>
      </c>
      <c r="I23" s="162">
        <v>0</v>
      </c>
      <c r="J23" s="157">
        <v>0</v>
      </c>
      <c r="K23" s="139">
        <v>0</v>
      </c>
      <c r="L23" s="79"/>
      <c r="O23" s="47">
        <f>-SUM(J23:L23)</f>
        <v>0</v>
      </c>
    </row>
    <row r="24" spans="1:15" x14ac:dyDescent="0.35">
      <c r="A24" s="46" t="s">
        <v>132</v>
      </c>
      <c r="C24" s="97">
        <v>0</v>
      </c>
      <c r="D24" s="109">
        <v>0</v>
      </c>
      <c r="E24" s="109">
        <v>0</v>
      </c>
      <c r="F24" s="110">
        <v>0</v>
      </c>
      <c r="G24" s="16">
        <v>0</v>
      </c>
      <c r="H24" s="55">
        <v>0</v>
      </c>
      <c r="I24" s="162">
        <v>0</v>
      </c>
      <c r="J24" s="157">
        <v>0</v>
      </c>
      <c r="K24" s="139">
        <v>0</v>
      </c>
      <c r="L24" s="79"/>
      <c r="O24" s="47">
        <f t="shared" ref="O24:O29" si="12">-SUM(J24:L24)</f>
        <v>0</v>
      </c>
    </row>
    <row r="25" spans="1:15" x14ac:dyDescent="0.35">
      <c r="A25" s="46" t="s">
        <v>133</v>
      </c>
      <c r="C25" s="97">
        <v>0</v>
      </c>
      <c r="D25" s="109">
        <v>0</v>
      </c>
      <c r="E25" s="109">
        <v>0</v>
      </c>
      <c r="F25" s="110">
        <v>0</v>
      </c>
      <c r="G25" s="16">
        <v>0</v>
      </c>
      <c r="H25" s="55">
        <v>0</v>
      </c>
      <c r="I25" s="162">
        <v>0</v>
      </c>
      <c r="J25" s="157">
        <v>0</v>
      </c>
      <c r="K25" s="139">
        <v>0</v>
      </c>
      <c r="L25" s="79"/>
      <c r="O25" s="47">
        <f t="shared" si="12"/>
        <v>0</v>
      </c>
    </row>
    <row r="26" spans="1:15" x14ac:dyDescent="0.35">
      <c r="A26" s="46" t="s">
        <v>134</v>
      </c>
      <c r="C26" s="97">
        <v>0</v>
      </c>
      <c r="D26" s="109">
        <v>0</v>
      </c>
      <c r="E26" s="109">
        <v>0</v>
      </c>
      <c r="F26" s="110">
        <v>0</v>
      </c>
      <c r="G26" s="16">
        <v>0</v>
      </c>
      <c r="H26" s="55">
        <v>0</v>
      </c>
      <c r="I26" s="162">
        <v>0</v>
      </c>
      <c r="J26" s="157">
        <v>0</v>
      </c>
      <c r="K26" s="139">
        <v>0</v>
      </c>
      <c r="L26" s="79"/>
      <c r="O26" s="47">
        <f t="shared" si="12"/>
        <v>0</v>
      </c>
    </row>
    <row r="27" spans="1:15" x14ac:dyDescent="0.35">
      <c r="A27" s="46" t="s">
        <v>135</v>
      </c>
      <c r="C27" s="97">
        <v>0</v>
      </c>
      <c r="D27" s="109">
        <v>0</v>
      </c>
      <c r="E27" s="109">
        <v>0</v>
      </c>
      <c r="F27" s="110">
        <v>0</v>
      </c>
      <c r="G27" s="16">
        <v>0</v>
      </c>
      <c r="H27" s="55">
        <v>0</v>
      </c>
      <c r="I27" s="162">
        <v>0</v>
      </c>
      <c r="J27" s="157">
        <v>0</v>
      </c>
      <c r="K27" s="139">
        <v>0</v>
      </c>
      <c r="L27" s="79"/>
      <c r="N27" s="47"/>
      <c r="O27" s="47">
        <f t="shared" si="12"/>
        <v>0</v>
      </c>
    </row>
    <row r="28" spans="1:15" x14ac:dyDescent="0.35">
      <c r="C28" s="99"/>
      <c r="D28" s="18"/>
      <c r="E28" s="18"/>
      <c r="F28" s="18"/>
      <c r="G28" s="91"/>
      <c r="H28" s="18"/>
      <c r="I28" s="163"/>
      <c r="J28" s="56"/>
      <c r="K28" s="56"/>
      <c r="L28" s="13"/>
    </row>
    <row r="29" spans="1:15" ht="15" thickBot="1" x14ac:dyDescent="0.4">
      <c r="A29" s="3" t="s">
        <v>14</v>
      </c>
      <c r="B29" s="3"/>
      <c r="C29" s="103">
        <v>1998.92</v>
      </c>
      <c r="D29" s="132">
        <v>-1065.9000000000001</v>
      </c>
      <c r="E29" s="132">
        <v>-978.75</v>
      </c>
      <c r="F29" s="133">
        <v>-830.71</v>
      </c>
      <c r="G29" s="26">
        <v>-683.84</v>
      </c>
      <c r="H29" s="119">
        <v>-603.79</v>
      </c>
      <c r="I29" s="169">
        <v>-570.45000000000005</v>
      </c>
      <c r="J29" s="158">
        <f>ROUND((SUM(I39:I43)+SUM(I47:I51)+SUM(J32:J36)/2)*J$45,2)</f>
        <v>-539.29</v>
      </c>
      <c r="K29" s="141">
        <f>ROUND((SUM(J39:J43)+SUM(J47:J51)+SUM(K32:K36)/2)*K$45,2)</f>
        <v>-502.99</v>
      </c>
      <c r="L29" s="82"/>
      <c r="O29" s="47">
        <f t="shared" si="12"/>
        <v>1042.28</v>
      </c>
    </row>
    <row r="30" spans="1:15" x14ac:dyDescent="0.35">
      <c r="C30" s="64"/>
      <c r="D30" s="145"/>
      <c r="E30" s="145"/>
      <c r="F30" s="146"/>
      <c r="G30" s="64"/>
      <c r="H30" s="33"/>
      <c r="I30" s="170"/>
      <c r="J30" s="34"/>
      <c r="K30" s="34"/>
      <c r="L30" s="60"/>
    </row>
    <row r="31" spans="1:15" x14ac:dyDescent="0.35">
      <c r="A31" s="46" t="s">
        <v>51</v>
      </c>
      <c r="C31" s="65"/>
      <c r="D31" s="146"/>
      <c r="E31" s="146"/>
      <c r="F31" s="146"/>
      <c r="G31" s="65"/>
      <c r="H31" s="35"/>
      <c r="I31" s="171"/>
      <c r="J31" s="34"/>
      <c r="K31" s="34"/>
      <c r="L31" s="60"/>
    </row>
    <row r="32" spans="1:15" x14ac:dyDescent="0.35">
      <c r="A32" s="46" t="s">
        <v>24</v>
      </c>
      <c r="C32" s="100">
        <f t="shared" ref="C32:L32" si="13">C23-C16</f>
        <v>-81128.665919999999</v>
      </c>
      <c r="D32" s="41">
        <f t="shared" si="13"/>
        <v>18629.009999999998</v>
      </c>
      <c r="E32" s="41">
        <f t="shared" si="13"/>
        <v>24246.54</v>
      </c>
      <c r="F32" s="108">
        <f t="shared" si="13"/>
        <v>30853.1</v>
      </c>
      <c r="G32" s="40">
        <f t="shared" si="13"/>
        <v>23915.93</v>
      </c>
      <c r="H32" s="41">
        <f t="shared" si="13"/>
        <v>6924.89</v>
      </c>
      <c r="I32" s="61">
        <f t="shared" si="13"/>
        <v>6286.39</v>
      </c>
      <c r="J32" s="120">
        <f t="shared" si="13"/>
        <v>6285.8514000000005</v>
      </c>
      <c r="K32" s="41">
        <f t="shared" si="13"/>
        <v>8105.1353200000003</v>
      </c>
      <c r="L32" s="61">
        <f t="shared" si="13"/>
        <v>11903.347320000001</v>
      </c>
    </row>
    <row r="33" spans="1:15" x14ac:dyDescent="0.35">
      <c r="A33" s="46" t="s">
        <v>132</v>
      </c>
      <c r="C33" s="100">
        <f t="shared" ref="C33:L33" si="14">C24-C17</f>
        <v>0</v>
      </c>
      <c r="D33" s="41">
        <f t="shared" si="14"/>
        <v>0</v>
      </c>
      <c r="E33" s="41">
        <f t="shared" si="14"/>
        <v>0</v>
      </c>
      <c r="F33" s="108">
        <f t="shared" si="14"/>
        <v>0</v>
      </c>
      <c r="G33" s="40">
        <f t="shared" si="14"/>
        <v>0</v>
      </c>
      <c r="H33" s="41">
        <f t="shared" si="14"/>
        <v>0</v>
      </c>
      <c r="I33" s="61">
        <f t="shared" si="14"/>
        <v>0</v>
      </c>
      <c r="J33" s="120">
        <f t="shared" si="14"/>
        <v>0</v>
      </c>
      <c r="K33" s="41">
        <f t="shared" si="14"/>
        <v>0</v>
      </c>
      <c r="L33" s="61">
        <f t="shared" si="14"/>
        <v>0</v>
      </c>
    </row>
    <row r="34" spans="1:15" x14ac:dyDescent="0.35">
      <c r="A34" s="46" t="s">
        <v>133</v>
      </c>
      <c r="C34" s="100">
        <f t="shared" ref="C34:L34" si="15">C25-C18</f>
        <v>0</v>
      </c>
      <c r="D34" s="41">
        <f t="shared" si="15"/>
        <v>0</v>
      </c>
      <c r="E34" s="41">
        <f t="shared" si="15"/>
        <v>0</v>
      </c>
      <c r="F34" s="108">
        <f t="shared" si="15"/>
        <v>0</v>
      </c>
      <c r="G34" s="40">
        <f t="shared" si="15"/>
        <v>0</v>
      </c>
      <c r="H34" s="41">
        <f t="shared" si="15"/>
        <v>0</v>
      </c>
      <c r="I34" s="61">
        <f t="shared" si="15"/>
        <v>0</v>
      </c>
      <c r="J34" s="120">
        <f t="shared" si="15"/>
        <v>0</v>
      </c>
      <c r="K34" s="41">
        <f t="shared" si="15"/>
        <v>0</v>
      </c>
      <c r="L34" s="61">
        <f t="shared" si="15"/>
        <v>0</v>
      </c>
    </row>
    <row r="35" spans="1:15" x14ac:dyDescent="0.35">
      <c r="A35" s="46" t="s">
        <v>134</v>
      </c>
      <c r="C35" s="100">
        <f t="shared" ref="C35:L35" si="16">C26-C19</f>
        <v>0</v>
      </c>
      <c r="D35" s="41">
        <f t="shared" si="16"/>
        <v>0</v>
      </c>
      <c r="E35" s="41">
        <f t="shared" si="16"/>
        <v>0</v>
      </c>
      <c r="F35" s="108">
        <f t="shared" si="16"/>
        <v>0</v>
      </c>
      <c r="G35" s="40">
        <f t="shared" si="16"/>
        <v>0</v>
      </c>
      <c r="H35" s="41">
        <f t="shared" si="16"/>
        <v>0</v>
      </c>
      <c r="I35" s="61">
        <f t="shared" si="16"/>
        <v>0</v>
      </c>
      <c r="J35" s="120">
        <f t="shared" si="16"/>
        <v>0</v>
      </c>
      <c r="K35" s="41">
        <f t="shared" si="16"/>
        <v>0</v>
      </c>
      <c r="L35" s="61">
        <f t="shared" si="16"/>
        <v>0</v>
      </c>
    </row>
    <row r="36" spans="1:15" x14ac:dyDescent="0.35">
      <c r="A36" s="46" t="s">
        <v>135</v>
      </c>
      <c r="C36" s="100">
        <f t="shared" ref="C36:L36" si="17">C27-C20</f>
        <v>0</v>
      </c>
      <c r="D36" s="41">
        <f t="shared" si="17"/>
        <v>0</v>
      </c>
      <c r="E36" s="41">
        <f t="shared" si="17"/>
        <v>0</v>
      </c>
      <c r="F36" s="108">
        <f t="shared" si="17"/>
        <v>0</v>
      </c>
      <c r="G36" s="40">
        <f t="shared" si="17"/>
        <v>0</v>
      </c>
      <c r="H36" s="41">
        <f t="shared" si="17"/>
        <v>0</v>
      </c>
      <c r="I36" s="61">
        <f t="shared" si="17"/>
        <v>0</v>
      </c>
      <c r="J36" s="120">
        <f t="shared" si="17"/>
        <v>0</v>
      </c>
      <c r="K36" s="41">
        <f t="shared" si="17"/>
        <v>0</v>
      </c>
      <c r="L36" s="61">
        <f t="shared" si="17"/>
        <v>0</v>
      </c>
    </row>
    <row r="37" spans="1:15" x14ac:dyDescent="0.35">
      <c r="C37" s="99"/>
      <c r="D37" s="17"/>
      <c r="E37" s="17"/>
      <c r="F37" s="17"/>
      <c r="G37" s="10"/>
      <c r="H37" s="17"/>
      <c r="I37" s="11"/>
      <c r="J37" s="17"/>
      <c r="K37" s="17"/>
      <c r="L37" s="11"/>
    </row>
    <row r="38" spans="1:15" x14ac:dyDescent="0.35">
      <c r="A38" s="46" t="s">
        <v>52</v>
      </c>
      <c r="C38" s="99"/>
      <c r="D38" s="17"/>
      <c r="E38" s="17"/>
      <c r="F38" s="17"/>
      <c r="G38" s="10"/>
      <c r="H38" s="17"/>
      <c r="I38" s="11"/>
      <c r="J38" s="17"/>
      <c r="K38" s="17"/>
      <c r="L38" s="11"/>
    </row>
    <row r="39" spans="1:15" x14ac:dyDescent="0.35">
      <c r="A39" s="46" t="s">
        <v>24</v>
      </c>
      <c r="B39" s="312">
        <v>-129037.03408000007</v>
      </c>
      <c r="C39" s="100">
        <f t="shared" ref="C39:L39" si="18">B39+C32+B47</f>
        <v>-210165.70000000007</v>
      </c>
      <c r="D39" s="41">
        <f t="shared" si="18"/>
        <v>-189537.76000000007</v>
      </c>
      <c r="E39" s="41">
        <f t="shared" si="18"/>
        <v>-166357.12000000005</v>
      </c>
      <c r="F39" s="108">
        <f t="shared" si="18"/>
        <v>-136482.77000000005</v>
      </c>
      <c r="G39" s="40">
        <f t="shared" si="18"/>
        <v>-113397.55000000006</v>
      </c>
      <c r="H39" s="41">
        <f t="shared" si="18"/>
        <v>-107156.50000000006</v>
      </c>
      <c r="I39" s="61">
        <f t="shared" si="18"/>
        <v>-101473.90000000005</v>
      </c>
      <c r="J39" s="120">
        <f t="shared" si="18"/>
        <v>-95758.49860000005</v>
      </c>
      <c r="K39" s="41">
        <f t="shared" si="18"/>
        <v>-88192.653280000042</v>
      </c>
      <c r="L39" s="61">
        <f t="shared" si="18"/>
        <v>-76792.295960000047</v>
      </c>
    </row>
    <row r="40" spans="1:15" x14ac:dyDescent="0.35">
      <c r="A40" s="46" t="s">
        <v>132</v>
      </c>
      <c r="B40" s="312">
        <v>-319.35000000000065</v>
      </c>
      <c r="C40" s="100">
        <f t="shared" ref="C40:L40" si="19">B40+C33+B48</f>
        <v>-319.35000000000065</v>
      </c>
      <c r="D40" s="41">
        <f t="shared" si="19"/>
        <v>-315.96000000000066</v>
      </c>
      <c r="E40" s="41">
        <f t="shared" si="19"/>
        <v>-317.65000000000066</v>
      </c>
      <c r="F40" s="108">
        <f t="shared" si="19"/>
        <v>-319.39000000000067</v>
      </c>
      <c r="G40" s="40">
        <f t="shared" si="19"/>
        <v>-321.14000000000067</v>
      </c>
      <c r="H40" s="41">
        <f t="shared" si="19"/>
        <v>-321.14000000000067</v>
      </c>
      <c r="I40" s="61">
        <f t="shared" si="19"/>
        <v>-322.89000000000067</v>
      </c>
      <c r="J40" s="120">
        <f t="shared" si="19"/>
        <v>-324.65000000000066</v>
      </c>
      <c r="K40" s="41">
        <f t="shared" si="19"/>
        <v>-326.42000000000064</v>
      </c>
      <c r="L40" s="61">
        <f t="shared" si="19"/>
        <v>-328.20000000000061</v>
      </c>
    </row>
    <row r="41" spans="1:15" x14ac:dyDescent="0.35">
      <c r="A41" s="46" t="s">
        <v>133</v>
      </c>
      <c r="B41" s="312">
        <v>-244.71000000000049</v>
      </c>
      <c r="C41" s="100">
        <f t="shared" ref="C41:L41" si="20">B41+C34+B49</f>
        <v>-244.71000000000049</v>
      </c>
      <c r="D41" s="41">
        <f t="shared" si="20"/>
        <v>-242.1100000000005</v>
      </c>
      <c r="E41" s="41">
        <f t="shared" si="20"/>
        <v>-243.41000000000051</v>
      </c>
      <c r="F41" s="108">
        <f t="shared" si="20"/>
        <v>-244.74000000000052</v>
      </c>
      <c r="G41" s="40">
        <f t="shared" si="20"/>
        <v>-246.08000000000052</v>
      </c>
      <c r="H41" s="41">
        <f t="shared" si="20"/>
        <v>-246.08000000000052</v>
      </c>
      <c r="I41" s="61">
        <f t="shared" si="20"/>
        <v>-247.42000000000053</v>
      </c>
      <c r="J41" s="120">
        <f t="shared" si="20"/>
        <v>-248.77000000000052</v>
      </c>
      <c r="K41" s="41">
        <f t="shared" si="20"/>
        <v>-250.13000000000054</v>
      </c>
      <c r="L41" s="61">
        <f t="shared" si="20"/>
        <v>-251.49000000000055</v>
      </c>
    </row>
    <row r="42" spans="1:15" x14ac:dyDescent="0.35">
      <c r="A42" s="46" t="s">
        <v>134</v>
      </c>
      <c r="B42" s="312">
        <v>937.22000000000014</v>
      </c>
      <c r="C42" s="100">
        <f t="shared" ref="C42:L42" si="21">B42+C35+B50</f>
        <v>937.22000000000014</v>
      </c>
      <c r="D42" s="41">
        <f t="shared" si="21"/>
        <v>927.25000000000011</v>
      </c>
      <c r="E42" s="41">
        <f t="shared" si="21"/>
        <v>932.22000000000014</v>
      </c>
      <c r="F42" s="108">
        <f t="shared" si="21"/>
        <v>937.33000000000015</v>
      </c>
      <c r="G42" s="40">
        <f t="shared" si="21"/>
        <v>942.46000000000015</v>
      </c>
      <c r="H42" s="41">
        <f t="shared" si="21"/>
        <v>942.46000000000015</v>
      </c>
      <c r="I42" s="61">
        <f t="shared" si="21"/>
        <v>947.60000000000014</v>
      </c>
      <c r="J42" s="120">
        <f t="shared" si="21"/>
        <v>952.7700000000001</v>
      </c>
      <c r="K42" s="41">
        <f t="shared" si="21"/>
        <v>957.97000000000014</v>
      </c>
      <c r="L42" s="61">
        <f t="shared" si="21"/>
        <v>963.19000000000017</v>
      </c>
    </row>
    <row r="43" spans="1:15" x14ac:dyDescent="0.35">
      <c r="A43" s="46" t="s">
        <v>135</v>
      </c>
      <c r="B43" s="312">
        <v>-373.15000000000026</v>
      </c>
      <c r="C43" s="100">
        <f>B43+C36+B51</f>
        <v>-373.15000000000026</v>
      </c>
      <c r="D43" s="41">
        <f t="shared" ref="D43:L43" si="22">C43+D36+C51</f>
        <v>-369.18000000000023</v>
      </c>
      <c r="E43" s="41">
        <f t="shared" si="22"/>
        <v>-371.16000000000025</v>
      </c>
      <c r="F43" s="108">
        <f t="shared" si="22"/>
        <v>-373.20000000000027</v>
      </c>
      <c r="G43" s="40">
        <f t="shared" si="22"/>
        <v>-375.24000000000029</v>
      </c>
      <c r="H43" s="41">
        <f t="shared" si="22"/>
        <v>-375.24000000000029</v>
      </c>
      <c r="I43" s="61">
        <f t="shared" si="22"/>
        <v>-377.2900000000003</v>
      </c>
      <c r="J43" s="120">
        <f t="shared" si="22"/>
        <v>-379.35000000000031</v>
      </c>
      <c r="K43" s="41">
        <f t="shared" si="22"/>
        <v>-381.4200000000003</v>
      </c>
      <c r="L43" s="61">
        <f t="shared" si="22"/>
        <v>-383.50000000000028</v>
      </c>
    </row>
    <row r="44" spans="1:15" x14ac:dyDescent="0.35">
      <c r="C44" s="99"/>
      <c r="D44" s="17"/>
      <c r="E44" s="17"/>
      <c r="F44" s="17"/>
      <c r="G44" s="10"/>
      <c r="H44" s="17"/>
      <c r="I44" s="11"/>
      <c r="J44" s="17"/>
      <c r="K44" s="17"/>
      <c r="L44" s="11"/>
    </row>
    <row r="45" spans="1:15" x14ac:dyDescent="0.35">
      <c r="A45" s="39" t="s">
        <v>48</v>
      </c>
      <c r="B45" s="39"/>
      <c r="C45" s="104"/>
      <c r="D45" s="83">
        <f>+'PCR Cycle 2'!E50</f>
        <v>5.3602700000000003E-3</v>
      </c>
      <c r="E45" s="83">
        <f>+'PCR Cycle 2'!F50</f>
        <v>5.4837899999999997E-3</v>
      </c>
      <c r="F45" s="83">
        <f>+'PCR Cycle 2'!G50</f>
        <v>5.4684599999999996E-3</v>
      </c>
      <c r="G45" s="84">
        <f>+'PCR Cycle 2'!H50</f>
        <v>5.4552200000000002E-3</v>
      </c>
      <c r="H45" s="83">
        <f>+'PCR Cycle 2'!I50</f>
        <v>5.4582900000000002E-3</v>
      </c>
      <c r="I45" s="92">
        <f>+'PCR Cycle 2'!J50</f>
        <v>5.45277E-3</v>
      </c>
      <c r="J45" s="83">
        <f>+'PCR Cycle 2'!K50</f>
        <v>5.45277E-3</v>
      </c>
      <c r="K45" s="83">
        <f>+'PCR Cycle 2'!L50</f>
        <v>5.45277E-3</v>
      </c>
      <c r="L45" s="85"/>
    </row>
    <row r="46" spans="1:15" x14ac:dyDescent="0.35">
      <c r="A46" s="39" t="s">
        <v>36</v>
      </c>
      <c r="B46" s="39"/>
      <c r="C46" s="106"/>
      <c r="D46" s="83"/>
      <c r="E46" s="83"/>
      <c r="F46" s="83"/>
      <c r="G46" s="84"/>
      <c r="H46" s="83"/>
      <c r="I46" s="85"/>
      <c r="J46" s="83"/>
      <c r="K46" s="83"/>
      <c r="L46" s="85"/>
    </row>
    <row r="47" spans="1:15" x14ac:dyDescent="0.35">
      <c r="A47" s="46" t="s">
        <v>24</v>
      </c>
      <c r="C47" s="313">
        <v>1998.93</v>
      </c>
      <c r="D47" s="41">
        <f t="shared" ref="D47:L47" si="23">ROUND((C39+C47+D32/2)*D$45,2)</f>
        <v>-1065.9000000000001</v>
      </c>
      <c r="E47" s="41">
        <f t="shared" si="23"/>
        <v>-978.75</v>
      </c>
      <c r="F47" s="108">
        <f t="shared" si="23"/>
        <v>-830.71</v>
      </c>
      <c r="G47" s="40">
        <f t="shared" si="23"/>
        <v>-683.84</v>
      </c>
      <c r="H47" s="120">
        <f t="shared" si="23"/>
        <v>-603.79</v>
      </c>
      <c r="I47" s="49">
        <f t="shared" si="23"/>
        <v>-570.45000000000005</v>
      </c>
      <c r="J47" s="159">
        <f t="shared" si="23"/>
        <v>-539.29</v>
      </c>
      <c r="K47" s="108">
        <f t="shared" si="23"/>
        <v>-502.99</v>
      </c>
      <c r="L47" s="61">
        <f t="shared" si="23"/>
        <v>0</v>
      </c>
      <c r="O47" s="47">
        <f t="shared" ref="O47:O51" si="24">-SUM(J47:L47)</f>
        <v>1042.28</v>
      </c>
    </row>
    <row r="48" spans="1:15" x14ac:dyDescent="0.35">
      <c r="A48" s="46" t="s">
        <v>132</v>
      </c>
      <c r="C48" s="313">
        <v>3.3899999999999997</v>
      </c>
      <c r="D48" s="41">
        <f t="shared" ref="D48:L48" si="25">ROUND((C40+C48+D33/2)*D$45,2)</f>
        <v>-1.69</v>
      </c>
      <c r="E48" s="41">
        <f t="shared" si="25"/>
        <v>-1.74</v>
      </c>
      <c r="F48" s="108">
        <f t="shared" si="25"/>
        <v>-1.75</v>
      </c>
      <c r="G48" s="40">
        <f>ROUND((F40+F48+G33/2)*G$45,2)*0</f>
        <v>0</v>
      </c>
      <c r="H48" s="120">
        <f t="shared" si="25"/>
        <v>-1.75</v>
      </c>
      <c r="I48" s="49">
        <f t="shared" si="25"/>
        <v>-1.76</v>
      </c>
      <c r="J48" s="159">
        <f t="shared" si="25"/>
        <v>-1.77</v>
      </c>
      <c r="K48" s="108">
        <f t="shared" si="25"/>
        <v>-1.78</v>
      </c>
      <c r="L48" s="61">
        <f t="shared" si="25"/>
        <v>0</v>
      </c>
      <c r="O48" s="47">
        <f t="shared" si="24"/>
        <v>3.55</v>
      </c>
    </row>
    <row r="49" spans="1:15" x14ac:dyDescent="0.35">
      <c r="A49" s="46" t="s">
        <v>133</v>
      </c>
      <c r="C49" s="313">
        <v>2.6</v>
      </c>
      <c r="D49" s="41">
        <f t="shared" ref="D49:L49" si="26">ROUND((C41+C49+D34/2)*D$45,2)</f>
        <v>-1.3</v>
      </c>
      <c r="E49" s="41">
        <f t="shared" si="26"/>
        <v>-1.33</v>
      </c>
      <c r="F49" s="108">
        <f t="shared" si="26"/>
        <v>-1.34</v>
      </c>
      <c r="G49" s="40">
        <f t="shared" ref="G49:G51" si="27">ROUND((F41+F49+G34/2)*G$45,2)*0</f>
        <v>0</v>
      </c>
      <c r="H49" s="120">
        <f t="shared" si="26"/>
        <v>-1.34</v>
      </c>
      <c r="I49" s="49">
        <f t="shared" si="26"/>
        <v>-1.35</v>
      </c>
      <c r="J49" s="159">
        <f t="shared" si="26"/>
        <v>-1.36</v>
      </c>
      <c r="K49" s="108">
        <f t="shared" si="26"/>
        <v>-1.36</v>
      </c>
      <c r="L49" s="61">
        <f t="shared" si="26"/>
        <v>0</v>
      </c>
      <c r="O49" s="47">
        <f t="shared" si="24"/>
        <v>2.72</v>
      </c>
    </row>
    <row r="50" spans="1:15" x14ac:dyDescent="0.35">
      <c r="A50" s="46" t="s">
        <v>134</v>
      </c>
      <c r="C50" s="313">
        <v>-9.9699999999999989</v>
      </c>
      <c r="D50" s="41">
        <f t="shared" ref="D50:L50" si="28">ROUND((C42+C50+D35/2)*D$45,2)</f>
        <v>4.97</v>
      </c>
      <c r="E50" s="41">
        <f t="shared" si="28"/>
        <v>5.1100000000000003</v>
      </c>
      <c r="F50" s="108">
        <f t="shared" si="28"/>
        <v>5.13</v>
      </c>
      <c r="G50" s="40">
        <f t="shared" si="27"/>
        <v>0</v>
      </c>
      <c r="H50" s="120">
        <f t="shared" si="28"/>
        <v>5.14</v>
      </c>
      <c r="I50" s="49">
        <f t="shared" si="28"/>
        <v>5.17</v>
      </c>
      <c r="J50" s="159">
        <f t="shared" si="28"/>
        <v>5.2</v>
      </c>
      <c r="K50" s="108">
        <f t="shared" si="28"/>
        <v>5.22</v>
      </c>
      <c r="L50" s="61">
        <f t="shared" si="28"/>
        <v>0</v>
      </c>
      <c r="O50" s="47">
        <f t="shared" si="24"/>
        <v>-10.42</v>
      </c>
    </row>
    <row r="51" spans="1:15" ht="15" thickBot="1" x14ac:dyDescent="0.4">
      <c r="A51" s="46" t="s">
        <v>135</v>
      </c>
      <c r="C51" s="313">
        <v>3.9699999999999998</v>
      </c>
      <c r="D51" s="41">
        <f t="shared" ref="D51:L51" si="29">ROUND((C43+C51+D36/2)*D$45,2)</f>
        <v>-1.98</v>
      </c>
      <c r="E51" s="41">
        <f t="shared" si="29"/>
        <v>-2.04</v>
      </c>
      <c r="F51" s="108">
        <f t="shared" si="29"/>
        <v>-2.04</v>
      </c>
      <c r="G51" s="40">
        <f t="shared" si="27"/>
        <v>0</v>
      </c>
      <c r="H51" s="120">
        <f t="shared" si="29"/>
        <v>-2.0499999999999998</v>
      </c>
      <c r="I51" s="49">
        <f t="shared" si="29"/>
        <v>-2.06</v>
      </c>
      <c r="J51" s="159">
        <f t="shared" si="29"/>
        <v>-2.0699999999999998</v>
      </c>
      <c r="K51" s="108">
        <f t="shared" si="29"/>
        <v>-2.08</v>
      </c>
      <c r="L51" s="61">
        <f t="shared" si="29"/>
        <v>0</v>
      </c>
      <c r="O51" s="47">
        <f t="shared" si="24"/>
        <v>4.1500000000000004</v>
      </c>
    </row>
    <row r="52" spans="1:15" ht="15.5" thickTop="1" thickBot="1" x14ac:dyDescent="0.4">
      <c r="A52" s="54" t="s">
        <v>22</v>
      </c>
      <c r="B52" s="54"/>
      <c r="C52" s="107">
        <v>0</v>
      </c>
      <c r="D52" s="42">
        <f t="shared" ref="D52:I52" si="30">SUM(D47:D51)+SUM(D39:D43)-D55</f>
        <v>0</v>
      </c>
      <c r="E52" s="42">
        <f t="shared" si="30"/>
        <v>0</v>
      </c>
      <c r="F52" s="50">
        <f t="shared" ref="F52:H52" si="31">SUM(F47:F51)+SUM(F39:F43)-F55</f>
        <v>0</v>
      </c>
      <c r="G52" s="143">
        <f t="shared" si="31"/>
        <v>0</v>
      </c>
      <c r="H52" s="50">
        <f t="shared" si="31"/>
        <v>0</v>
      </c>
      <c r="I52" s="62">
        <f t="shared" si="30"/>
        <v>0</v>
      </c>
      <c r="J52" s="160">
        <f t="shared" ref="J52:L52" si="32">SUM(J47:J51)+SUM(J39:J43)-J55</f>
        <v>0</v>
      </c>
      <c r="K52" s="50">
        <f t="shared" si="32"/>
        <v>0</v>
      </c>
      <c r="L52" s="62">
        <f t="shared" si="32"/>
        <v>0</v>
      </c>
    </row>
    <row r="53" spans="1:15" ht="15.5" thickTop="1" thickBot="1" x14ac:dyDescent="0.4">
      <c r="A53" s="54" t="s">
        <v>23</v>
      </c>
      <c r="B53" s="54"/>
      <c r="C53" s="107">
        <v>0</v>
      </c>
      <c r="D53" s="42">
        <f t="shared" ref="D53:I53" si="33">SUM(D47:D51)-D29</f>
        <v>0</v>
      </c>
      <c r="E53" s="42">
        <f t="shared" si="33"/>
        <v>0</v>
      </c>
      <c r="F53" s="50">
        <f t="shared" ref="F53:H53" si="34">SUM(F47:F51)-F29</f>
        <v>0</v>
      </c>
      <c r="G53" s="143">
        <f t="shared" si="34"/>
        <v>0</v>
      </c>
      <c r="H53" s="50">
        <f t="shared" si="34"/>
        <v>0</v>
      </c>
      <c r="I53" s="62">
        <f t="shared" si="33"/>
        <v>0</v>
      </c>
      <c r="J53" s="161">
        <f t="shared" ref="J53:L53" si="35">SUM(J47:J51)-J29</f>
        <v>0</v>
      </c>
      <c r="K53" s="42">
        <f t="shared" si="35"/>
        <v>0</v>
      </c>
      <c r="L53" s="42">
        <f t="shared" si="35"/>
        <v>0</v>
      </c>
    </row>
    <row r="54" spans="1:15" ht="15.5" thickTop="1" thickBot="1" x14ac:dyDescent="0.4">
      <c r="C54" s="99"/>
      <c r="D54" s="17"/>
      <c r="E54" s="17"/>
      <c r="F54" s="17"/>
      <c r="G54" s="10"/>
      <c r="H54" s="17"/>
      <c r="I54" s="11"/>
      <c r="J54" s="17"/>
      <c r="K54" s="17"/>
      <c r="L54" s="11"/>
    </row>
    <row r="55" spans="1:15" ht="15" thickBot="1" x14ac:dyDescent="0.4">
      <c r="A55" s="46" t="s">
        <v>35</v>
      </c>
      <c r="B55" s="116">
        <f>SUM(B39:B43)</f>
        <v>-129037.02408000008</v>
      </c>
      <c r="C55" s="100">
        <f t="shared" ref="C55:L55" si="36">(C13-SUM(C16:C20))+SUM(C47:C51)+B55</f>
        <v>-208166.77000000008</v>
      </c>
      <c r="D55" s="41">
        <f t="shared" si="36"/>
        <v>-190603.66000000009</v>
      </c>
      <c r="E55" s="41">
        <f t="shared" si="36"/>
        <v>-167335.87000000008</v>
      </c>
      <c r="F55" s="108">
        <f t="shared" si="36"/>
        <v>-137313.4800000001</v>
      </c>
      <c r="G55" s="40">
        <f t="shared" si="36"/>
        <v>-114081.3900000001</v>
      </c>
      <c r="H55" s="41">
        <f t="shared" si="36"/>
        <v>-107760.2900000001</v>
      </c>
      <c r="I55" s="61">
        <f t="shared" si="36"/>
        <v>-102044.35000000009</v>
      </c>
      <c r="J55" s="159">
        <f t="shared" si="36"/>
        <v>-96297.788600000087</v>
      </c>
      <c r="K55" s="108">
        <f t="shared" si="36"/>
        <v>-88695.643280000091</v>
      </c>
      <c r="L55" s="61">
        <f t="shared" si="36"/>
        <v>-76792.29596000009</v>
      </c>
    </row>
    <row r="56" spans="1:15" x14ac:dyDescent="0.35">
      <c r="A56" s="46" t="s">
        <v>12</v>
      </c>
      <c r="C56" s="117"/>
      <c r="D56" s="17"/>
      <c r="E56" s="17"/>
      <c r="F56" s="17"/>
      <c r="G56" s="10"/>
      <c r="H56" s="17"/>
      <c r="I56" s="11"/>
      <c r="J56" s="17"/>
      <c r="K56" s="17"/>
      <c r="L56" s="11"/>
    </row>
    <row r="57" spans="1:15" ht="15" thickBot="1" x14ac:dyDescent="0.4">
      <c r="A57" s="37"/>
      <c r="B57" s="37"/>
      <c r="C57" s="144"/>
      <c r="D57" s="44"/>
      <c r="E57" s="44"/>
      <c r="F57" s="44"/>
      <c r="G57" s="43"/>
      <c r="H57" s="44"/>
      <c r="I57" s="45"/>
      <c r="J57" s="44"/>
      <c r="K57" s="44"/>
      <c r="L57" s="45"/>
    </row>
    <row r="59" spans="1:15" x14ac:dyDescent="0.35">
      <c r="A59" s="69" t="s">
        <v>11</v>
      </c>
      <c r="B59" s="69"/>
      <c r="C59" s="69"/>
    </row>
    <row r="60" spans="1:15" x14ac:dyDescent="0.35">
      <c r="A60" s="362" t="s">
        <v>169</v>
      </c>
      <c r="B60" s="362"/>
      <c r="C60" s="362"/>
      <c r="D60" s="362"/>
      <c r="E60" s="362"/>
      <c r="F60" s="362"/>
      <c r="G60" s="362"/>
      <c r="H60" s="362"/>
      <c r="I60" s="362"/>
      <c r="J60" s="283"/>
      <c r="K60" s="283"/>
      <c r="L60" s="283"/>
    </row>
    <row r="61" spans="1:15" ht="63" customHeight="1" x14ac:dyDescent="0.35">
      <c r="A61" s="350" t="s">
        <v>299</v>
      </c>
      <c r="B61" s="350"/>
      <c r="C61" s="350"/>
      <c r="D61" s="350"/>
      <c r="E61" s="350"/>
      <c r="F61" s="350"/>
      <c r="G61" s="350"/>
      <c r="H61" s="350"/>
      <c r="I61" s="350"/>
      <c r="J61" s="350"/>
      <c r="K61" s="350"/>
    </row>
    <row r="62" spans="1:15" x14ac:dyDescent="0.35">
      <c r="A62" s="350" t="s">
        <v>303</v>
      </c>
      <c r="B62" s="350"/>
      <c r="C62" s="350"/>
      <c r="D62" s="350"/>
      <c r="E62" s="350"/>
      <c r="F62" s="350"/>
      <c r="G62" s="350"/>
      <c r="H62" s="350"/>
      <c r="I62" s="350"/>
      <c r="J62" s="350"/>
      <c r="K62" s="361"/>
      <c r="L62" s="283"/>
    </row>
    <row r="63" spans="1:15" x14ac:dyDescent="0.35">
      <c r="A63" s="63" t="s">
        <v>284</v>
      </c>
      <c r="B63" s="63"/>
      <c r="C63" s="63"/>
      <c r="D63" s="63"/>
      <c r="E63" s="39"/>
      <c r="F63" s="39"/>
      <c r="G63" s="39"/>
      <c r="H63" s="39"/>
      <c r="I63" s="39"/>
      <c r="J63" s="334"/>
      <c r="K63" s="39"/>
    </row>
    <row r="64" spans="1:15" x14ac:dyDescent="0.35">
      <c r="A64" s="3" t="s">
        <v>123</v>
      </c>
      <c r="B64" s="3"/>
      <c r="C64" s="3"/>
      <c r="I64" s="4"/>
    </row>
    <row r="65" spans="1:9" x14ac:dyDescent="0.35">
      <c r="A65" s="3"/>
      <c r="B65" s="63"/>
      <c r="C65" s="63"/>
      <c r="D65" s="39"/>
      <c r="E65" s="39"/>
      <c r="F65" s="39"/>
      <c r="G65" s="39"/>
      <c r="H65" s="39"/>
      <c r="I65" s="39"/>
    </row>
    <row r="66" spans="1:9" x14ac:dyDescent="0.35">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7"/>
  <sheetViews>
    <sheetView tabSelected="1" zoomScale="90" zoomScaleNormal="90" workbookViewId="0">
      <pane xSplit="2" ySplit="3" topLeftCell="C4" activePane="bottomRight" state="frozen"/>
      <selection activeCell="E2" sqref="E2"/>
      <selection pane="topRight" activeCell="E2" sqref="E2"/>
      <selection pane="bottomLeft" activeCell="E2" sqref="E2"/>
      <selection pane="bottomRight" activeCell="H11" sqref="H11"/>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3.72656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1.453125" bestFit="1" customWidth="1"/>
    <col min="15" max="15" width="16" bestFit="1" customWidth="1" outlineLevel="1"/>
    <col min="16" max="16" width="19.26953125" customWidth="1" outlineLevel="1"/>
    <col min="17" max="17" width="16" style="46" customWidth="1" outlineLevel="1"/>
    <col min="18" max="18" width="11.81640625" bestFit="1" customWidth="1" outlineLevel="1"/>
    <col min="19" max="20" width="16" customWidth="1" outlineLevel="1"/>
    <col min="21" max="21" width="16" style="46" customWidth="1" outlineLevel="1"/>
    <col min="22" max="22" width="16" customWidth="1" outlineLevel="1"/>
    <col min="23" max="23" width="9.1796875" customWidth="1" outlineLevel="1"/>
    <col min="24" max="27" width="16" bestFit="1" customWidth="1" outlineLevel="1"/>
    <col min="28" max="28" width="13" bestFit="1" customWidth="1"/>
    <col min="29" max="32" width="16" bestFit="1" customWidth="1"/>
    <col min="33" max="33" width="12.81640625" bestFit="1" customWidth="1"/>
  </cols>
  <sheetData>
    <row r="1" spans="1:33" x14ac:dyDescent="0.35">
      <c r="A1" s="3" t="str">
        <f>+'PPC Cycle 3'!A1</f>
        <v>Evergy Metro, Inc. - DSIM Rider Update Filed 06/01/2024</v>
      </c>
    </row>
    <row r="2" spans="1:33" ht="15" thickBot="1" x14ac:dyDescent="0.4">
      <c r="H2" s="46"/>
      <c r="I2" s="46"/>
      <c r="J2" s="48"/>
      <c r="K2" s="48"/>
    </row>
    <row r="3" spans="1:33" ht="27.5" thickBot="1" x14ac:dyDescent="0.4">
      <c r="B3" s="87" t="s">
        <v>7</v>
      </c>
      <c r="C3" s="127" t="s">
        <v>19</v>
      </c>
      <c r="D3" s="127" t="s">
        <v>20</v>
      </c>
      <c r="E3" s="127" t="s">
        <v>56</v>
      </c>
      <c r="F3" s="127" t="s">
        <v>21</v>
      </c>
      <c r="G3" s="127" t="s">
        <v>37</v>
      </c>
      <c r="H3" s="89" t="s">
        <v>28</v>
      </c>
      <c r="I3" s="39"/>
      <c r="J3" s="88" t="s">
        <v>13</v>
      </c>
      <c r="K3" s="89" t="s">
        <v>55</v>
      </c>
      <c r="L3" s="89" t="s">
        <v>70</v>
      </c>
      <c r="M3" s="89" t="s">
        <v>71</v>
      </c>
    </row>
    <row r="4" spans="1:33" ht="15" thickBot="1" x14ac:dyDescent="0.4">
      <c r="B4" s="90" t="s">
        <v>24</v>
      </c>
      <c r="C4" s="125">
        <f t="shared" ref="C4:F8" si="0">C13+C22</f>
        <v>4706109.7</v>
      </c>
      <c r="D4" s="126">
        <f t="shared" si="0"/>
        <v>2513835.4732399997</v>
      </c>
      <c r="E4" s="126">
        <f t="shared" si="0"/>
        <v>1885954.7815199997</v>
      </c>
      <c r="F4" s="126">
        <f t="shared" si="0"/>
        <v>-83165.321680000066</v>
      </c>
      <c r="G4" s="315">
        <f>+'PPC Cycle 3'!B5</f>
        <v>2745123102</v>
      </c>
      <c r="H4" s="129">
        <f>ROUND(SUM(C4:F4)/G4,5)</f>
        <v>3.29E-3</v>
      </c>
      <c r="I4" s="130"/>
      <c r="J4" s="323">
        <f>ROUND((C13+C22)/G4,5)</f>
        <v>1.7099999999999999E-3</v>
      </c>
      <c r="K4" s="255">
        <f>ROUND((D13+D22)/G4,5)</f>
        <v>9.2000000000000003E-4</v>
      </c>
      <c r="L4" s="255">
        <f>ROUND((E13+E22)/G4,5)</f>
        <v>6.8999999999999997E-4</v>
      </c>
      <c r="M4" s="131">
        <f>ROUND((F13+F22)/G4,5)</f>
        <v>-3.0000000000000001E-5</v>
      </c>
      <c r="N4" s="221">
        <f>+H4-SUM(J4:M4)</f>
        <v>0</v>
      </c>
    </row>
    <row r="5" spans="1:33" ht="15" thickBot="1" x14ac:dyDescent="0.4">
      <c r="B5" s="90" t="s">
        <v>104</v>
      </c>
      <c r="C5" s="125">
        <f t="shared" si="0"/>
        <v>266635.44783979794</v>
      </c>
      <c r="D5" s="126">
        <f t="shared" si="0"/>
        <v>479386.6611899999</v>
      </c>
      <c r="E5" s="126">
        <f t="shared" si="0"/>
        <v>244887.88529000001</v>
      </c>
      <c r="F5" s="126">
        <f t="shared" si="0"/>
        <v>-328.20000000000067</v>
      </c>
      <c r="G5" s="315">
        <f>+'PPC Cycle 3'!B6</f>
        <v>651670035</v>
      </c>
      <c r="H5" s="129">
        <f>ROUND(SUM(C5:F5)/G5,5)</f>
        <v>1.5200000000000001E-3</v>
      </c>
      <c r="I5" s="130"/>
      <c r="J5" s="338">
        <f>ROUND((C14+C23)/G5,5)-0.00001</f>
        <v>3.9999999999999996E-4</v>
      </c>
      <c r="K5" s="255">
        <f>ROUND((D14+D23)/G5,5)</f>
        <v>7.3999999999999999E-4</v>
      </c>
      <c r="L5" s="255">
        <f>ROUND((E14+E23)/G5,5)</f>
        <v>3.8000000000000002E-4</v>
      </c>
      <c r="M5" s="131">
        <f>ROUND((F14+F23)/G5,5)</f>
        <v>0</v>
      </c>
      <c r="N5" s="221">
        <f t="shared" ref="N5:N8" si="1">+H5-SUM(J5:M5)</f>
        <v>0</v>
      </c>
      <c r="O5" s="254"/>
      <c r="P5" s="254"/>
      <c r="Q5" s="254"/>
      <c r="R5" s="254"/>
      <c r="S5" s="254"/>
      <c r="T5" s="254"/>
    </row>
    <row r="6" spans="1:33" s="46" customFormat="1" ht="15" thickBot="1" x14ac:dyDescent="0.4">
      <c r="B6" s="90" t="s">
        <v>105</v>
      </c>
      <c r="C6" s="125">
        <f t="shared" si="0"/>
        <v>2154837.9200000009</v>
      </c>
      <c r="D6" s="126">
        <f t="shared" si="0"/>
        <v>1620205.1466499998</v>
      </c>
      <c r="E6" s="126">
        <f t="shared" si="0"/>
        <v>513764.96194999997</v>
      </c>
      <c r="F6" s="126">
        <f t="shared" si="0"/>
        <v>-251.49000000000049</v>
      </c>
      <c r="G6" s="315">
        <f>+'PPC Cycle 3'!B7</f>
        <v>1154044380</v>
      </c>
      <c r="H6" s="129">
        <f>ROUND(SUM(C6:F6)/G6,5)</f>
        <v>3.7200000000000002E-3</v>
      </c>
      <c r="I6" s="130"/>
      <c r="J6" s="323">
        <f>ROUND((C15+C24)/G6,5)</f>
        <v>1.8699999999999999E-3</v>
      </c>
      <c r="K6" s="255">
        <f>ROUND((D15+D24)/G6,5)</f>
        <v>1.4E-3</v>
      </c>
      <c r="L6" s="255">
        <f>ROUND((E15+E24)/G6,5)</f>
        <v>4.4999999999999999E-4</v>
      </c>
      <c r="M6" s="131">
        <f>ROUND((F15+F24)/G6,5)</f>
        <v>0</v>
      </c>
      <c r="N6" s="221">
        <f t="shared" si="1"/>
        <v>0</v>
      </c>
      <c r="O6" s="254"/>
      <c r="P6" s="254"/>
      <c r="Q6" s="254"/>
      <c r="R6" s="254"/>
      <c r="S6" s="254"/>
      <c r="T6" s="254"/>
    </row>
    <row r="7" spans="1:33" s="46" customFormat="1" ht="15" thickBot="1" x14ac:dyDescent="0.4">
      <c r="B7" s="90" t="s">
        <v>106</v>
      </c>
      <c r="C7" s="125">
        <f t="shared" si="0"/>
        <v>1234373.02</v>
      </c>
      <c r="D7" s="126">
        <f t="shared" si="0"/>
        <v>1136019.1107600001</v>
      </c>
      <c r="E7" s="126">
        <f t="shared" si="0"/>
        <v>873337.41760000004</v>
      </c>
      <c r="F7" s="126">
        <f t="shared" si="0"/>
        <v>963.19000000000017</v>
      </c>
      <c r="G7" s="315">
        <f>+'PPC Cycle 3'!B8</f>
        <v>1870755627</v>
      </c>
      <c r="H7" s="129">
        <f>ROUND(SUM(C7:F7)/G7,5)</f>
        <v>1.73E-3</v>
      </c>
      <c r="I7" s="130"/>
      <c r="J7" s="338">
        <f>ROUND((C16+C25)/G7,5)-0.00001</f>
        <v>6.4999999999999997E-4</v>
      </c>
      <c r="K7" s="255">
        <f>ROUND((D16+D25)/G7,5)</f>
        <v>6.0999999999999997E-4</v>
      </c>
      <c r="L7" s="255">
        <f>ROUND((E16+E25)/G7,5)</f>
        <v>4.6999999999999999E-4</v>
      </c>
      <c r="M7" s="131">
        <f>ROUND((F16+F25)/G7,5)</f>
        <v>0</v>
      </c>
      <c r="N7" s="221">
        <f t="shared" si="1"/>
        <v>0</v>
      </c>
      <c r="O7" s="254"/>
      <c r="P7" s="254"/>
      <c r="Q7" s="254"/>
      <c r="R7" s="254"/>
      <c r="S7" s="254"/>
      <c r="T7" s="254"/>
    </row>
    <row r="8" spans="1:33" s="46" customFormat="1" ht="15" thickBot="1" x14ac:dyDescent="0.4">
      <c r="B8" s="90" t="s">
        <v>107</v>
      </c>
      <c r="C8" s="125">
        <f t="shared" si="0"/>
        <v>717556.17216020287</v>
      </c>
      <c r="D8" s="126">
        <f t="shared" si="0"/>
        <v>76229.40896000003</v>
      </c>
      <c r="E8" s="126">
        <f t="shared" si="0"/>
        <v>187541.91200999997</v>
      </c>
      <c r="F8" s="126">
        <f t="shared" si="0"/>
        <v>-383.50000000000028</v>
      </c>
      <c r="G8" s="315">
        <f>+'PPC Cycle 3'!B9</f>
        <v>525810978</v>
      </c>
      <c r="H8" s="129">
        <f>ROUND(SUM(C8:F8)/G8,5)</f>
        <v>1.8699999999999999E-3</v>
      </c>
      <c r="I8" s="130"/>
      <c r="J8" s="338">
        <f>ROUND((C17+C26)/G8,5)+0.00001</f>
        <v>1.3700000000000001E-3</v>
      </c>
      <c r="K8" s="255">
        <f>ROUND((D17+D26)/G8,5)</f>
        <v>1.3999999999999999E-4</v>
      </c>
      <c r="L8" s="255">
        <f>ROUND((E17+E26)/G8,5)</f>
        <v>3.6000000000000002E-4</v>
      </c>
      <c r="M8" s="131">
        <f>ROUND((F17+F26)/G8,5)</f>
        <v>0</v>
      </c>
      <c r="N8" s="221">
        <f t="shared" si="1"/>
        <v>0</v>
      </c>
      <c r="O8" s="254"/>
      <c r="P8" s="254"/>
      <c r="Q8" s="254"/>
      <c r="R8" s="254"/>
      <c r="S8" s="254"/>
      <c r="T8" s="254"/>
    </row>
    <row r="9" spans="1:33" x14ac:dyDescent="0.35">
      <c r="C9" s="124"/>
      <c r="D9" s="124"/>
      <c r="E9" s="124"/>
      <c r="F9" s="124"/>
      <c r="G9" s="123"/>
    </row>
    <row r="10" spans="1:33" x14ac:dyDescent="0.35">
      <c r="C10" s="124"/>
      <c r="D10" s="124"/>
      <c r="E10" s="124"/>
      <c r="F10" s="124"/>
      <c r="G10" s="123"/>
      <c r="H10" s="271"/>
      <c r="I10" s="147"/>
      <c r="J10" s="271"/>
      <c r="K10" s="271"/>
      <c r="L10" s="271"/>
      <c r="M10" s="271"/>
    </row>
    <row r="11" spans="1:33" ht="15" thickBot="1" x14ac:dyDescent="0.4">
      <c r="C11" s="124"/>
      <c r="D11" s="124"/>
      <c r="E11" s="124"/>
      <c r="F11" s="124"/>
      <c r="G11" s="123"/>
      <c r="H11" s="272"/>
      <c r="I11" s="273"/>
      <c r="J11" s="272"/>
      <c r="K11" s="272"/>
      <c r="L11" s="272"/>
      <c r="M11" s="272"/>
    </row>
    <row r="12" spans="1:33" ht="15" thickBot="1" x14ac:dyDescent="0.4">
      <c r="B12" s="87" t="s">
        <v>7</v>
      </c>
      <c r="C12" s="128" t="s">
        <v>6</v>
      </c>
      <c r="D12" s="128" t="s">
        <v>16</v>
      </c>
      <c r="E12" s="128" t="s">
        <v>57</v>
      </c>
      <c r="F12" s="128" t="s">
        <v>17</v>
      </c>
      <c r="G12" s="123"/>
      <c r="H12" s="272"/>
      <c r="I12" s="273"/>
      <c r="J12" s="272"/>
      <c r="K12" s="272"/>
      <c r="L12" s="272"/>
      <c r="M12" s="272"/>
      <c r="O12" s="128" t="s">
        <v>72</v>
      </c>
      <c r="P12" s="128" t="s">
        <v>73</v>
      </c>
      <c r="Q12" s="128" t="s">
        <v>80</v>
      </c>
      <c r="R12" s="46"/>
      <c r="S12" s="128" t="s">
        <v>74</v>
      </c>
      <c r="T12" s="128" t="s">
        <v>75</v>
      </c>
      <c r="U12" s="128" t="s">
        <v>100</v>
      </c>
      <c r="V12" s="128" t="s">
        <v>90</v>
      </c>
      <c r="X12" s="128" t="s">
        <v>112</v>
      </c>
      <c r="Y12" s="128" t="s">
        <v>113</v>
      </c>
      <c r="Z12" s="128" t="s">
        <v>114</v>
      </c>
      <c r="AA12" s="128" t="s">
        <v>115</v>
      </c>
      <c r="AC12" s="128" t="s">
        <v>243</v>
      </c>
      <c r="AD12" s="128" t="s">
        <v>244</v>
      </c>
      <c r="AE12" s="128" t="s">
        <v>245</v>
      </c>
      <c r="AF12" s="128" t="s">
        <v>246</v>
      </c>
      <c r="AG12" s="46"/>
    </row>
    <row r="13" spans="1:33" ht="15" thickBot="1" x14ac:dyDescent="0.4">
      <c r="B13" s="90" t="s">
        <v>24</v>
      </c>
      <c r="C13" s="314">
        <f>+'PPC Cycle 3'!C5</f>
        <v>3949561.72</v>
      </c>
      <c r="D13" s="314">
        <f>'PTD Cycle 2'!C6+'PTD Cycle 3'!C6</f>
        <v>2486016.52</v>
      </c>
      <c r="E13" s="314">
        <f>+'EO Cycle 2'!G7+'EO Cycle 3'!G7</f>
        <v>1676816.8399999999</v>
      </c>
      <c r="F13" s="314">
        <f>+'OA Cycle 3'!F9</f>
        <v>0</v>
      </c>
      <c r="G13" s="123"/>
      <c r="H13" s="272"/>
      <c r="I13" s="273"/>
      <c r="J13" s="272"/>
      <c r="K13" s="272"/>
      <c r="L13" s="272"/>
      <c r="M13" s="272"/>
      <c r="O13" s="179">
        <v>0</v>
      </c>
      <c r="P13" s="179">
        <v>0</v>
      </c>
      <c r="Q13" s="220">
        <v>0</v>
      </c>
      <c r="R13" s="154"/>
      <c r="S13" s="316">
        <v>0</v>
      </c>
      <c r="T13" s="316">
        <f>ROUND(+'PTD Cycle 2'!C6/'Tariff Tables'!G4,5)</f>
        <v>0</v>
      </c>
      <c r="U13" s="337">
        <f>ROUND('EO Cycle 2'!G7/'Tariff Tables'!G4,5)+0.00001</f>
        <v>0</v>
      </c>
      <c r="V13" s="316">
        <f>ROUND(0/'Tariff Tables'!G4,5)</f>
        <v>0</v>
      </c>
      <c r="W13" s="277"/>
      <c r="X13" s="316">
        <f>ROUND('PPC Cycle 3'!C5/'Tariff Tables'!$G4,5)</f>
        <v>1.4400000000000001E-3</v>
      </c>
      <c r="Y13" s="316">
        <f>ROUND('PTD Cycle 3'!C6/'Tariff Tables'!G4,5)</f>
        <v>9.1E-4</v>
      </c>
      <c r="Z13" s="316">
        <f>ROUND('EO Cycle 3'!G7/'Tariff Tables'!G4,5)</f>
        <v>6.2E-4</v>
      </c>
      <c r="AA13" s="316">
        <f>ROUND('OA Cycle 3'!E9/'Tariff Tables'!G4,5)</f>
        <v>0</v>
      </c>
      <c r="AB13" s="154"/>
      <c r="AC13" s="316"/>
      <c r="AD13" s="316"/>
      <c r="AE13" s="316"/>
      <c r="AF13" s="316"/>
      <c r="AG13" s="154">
        <f ca="1">SUM($O13:OFFSET(AG13,0,-1),$O22:OFFSET(AG22,0,-1))</f>
        <v>3.2899999999999995E-3</v>
      </c>
    </row>
    <row r="14" spans="1:33" ht="15" thickBot="1" x14ac:dyDescent="0.4">
      <c r="B14" s="90" t="s">
        <v>104</v>
      </c>
      <c r="C14" s="314">
        <f>+'PPC Cycle 3'!C6</f>
        <v>444250.8</v>
      </c>
      <c r="D14" s="314">
        <f>'PTD Cycle 2'!C10+'PTD Cycle 3'!C7</f>
        <v>507712.69999999995</v>
      </c>
      <c r="E14" s="314">
        <f>+'EO Cycle 2'!G11+'EO Cycle 3'!G11</f>
        <v>228787.54</v>
      </c>
      <c r="F14" s="314">
        <f>+'OA Cycle 3'!F14</f>
        <v>0</v>
      </c>
      <c r="G14" s="123"/>
      <c r="H14" s="272"/>
      <c r="I14" s="273"/>
      <c r="J14" s="274"/>
      <c r="K14" s="272"/>
      <c r="L14" s="272"/>
      <c r="M14" s="272"/>
      <c r="O14" s="179">
        <v>0</v>
      </c>
      <c r="P14" s="179">
        <v>0</v>
      </c>
      <c r="Q14" s="220">
        <v>0</v>
      </c>
      <c r="R14" s="154"/>
      <c r="S14" s="316">
        <v>0</v>
      </c>
      <c r="T14" s="317">
        <f>ROUND(+'PTD Cycle 2'!C10/'Tariff Tables'!G5,5)</f>
        <v>0</v>
      </c>
      <c r="U14" s="318">
        <f>ROUND('EO Cycle 2'!G11/'Tariff Tables'!G5,5)</f>
        <v>-1.0000000000000001E-5</v>
      </c>
      <c r="V14" s="317">
        <f>ROUND('OA Cycle 2'!B13/'Tariff Tables'!G5,5)</f>
        <v>0</v>
      </c>
      <c r="W14" s="277"/>
      <c r="X14" s="316">
        <f>ROUND('PPC Cycle 3'!C6/'Tariff Tables'!$G5,5)</f>
        <v>6.8000000000000005E-4</v>
      </c>
      <c r="Y14" s="316">
        <f>ROUND('PTD Cycle 3'!C7/'Tariff Tables'!G5,5)</f>
        <v>7.7999999999999999E-4</v>
      </c>
      <c r="Z14" s="316">
        <f>ROUND('EO Cycle 3'!G11/'Tariff Tables'!G5,5)</f>
        <v>3.6000000000000002E-4</v>
      </c>
      <c r="AA14" s="316">
        <f>ROUND('OA Cycle 3'!B14/'Tariff Tables'!G5,5)</f>
        <v>0</v>
      </c>
      <c r="AB14" s="154"/>
      <c r="AC14" s="316"/>
      <c r="AD14" s="316"/>
      <c r="AE14" s="316"/>
      <c r="AF14" s="316"/>
      <c r="AG14" s="154">
        <f ca="1">SUM($O14:OFFSET(AG14,0,-1),$O23:OFFSET(AG23,0,-1))</f>
        <v>1.5200000000000003E-3</v>
      </c>
    </row>
    <row r="15" spans="1:33" s="46" customFormat="1" ht="15" thickBot="1" x14ac:dyDescent="0.4">
      <c r="B15" s="90" t="s">
        <v>105</v>
      </c>
      <c r="C15" s="314">
        <f>+'PPC Cycle 3'!C7</f>
        <v>932450.3</v>
      </c>
      <c r="D15" s="314">
        <f>'PTD Cycle 2'!C11+'PTD Cycle 3'!C8</f>
        <v>1294609.7999999998</v>
      </c>
      <c r="E15" s="314">
        <f>+'EO Cycle 2'!G12+'EO Cycle 3'!G12</f>
        <v>446843.18999999994</v>
      </c>
      <c r="F15" s="314">
        <f>+'OA Cycle 3'!F15</f>
        <v>0</v>
      </c>
      <c r="G15" s="123"/>
      <c r="H15" s="272"/>
      <c r="I15" s="273"/>
      <c r="J15" s="272"/>
      <c r="K15" s="272"/>
      <c r="L15" s="275"/>
      <c r="M15" s="272"/>
      <c r="O15" s="179">
        <v>0</v>
      </c>
      <c r="P15" s="179">
        <v>0</v>
      </c>
      <c r="Q15" s="220">
        <v>0</v>
      </c>
      <c r="R15" s="154"/>
      <c r="S15" s="316">
        <v>0</v>
      </c>
      <c r="T15" s="317">
        <f>ROUND(+'PTD Cycle 2'!C11/'Tariff Tables'!G6,5)</f>
        <v>0</v>
      </c>
      <c r="U15" s="318">
        <f>ROUND('EO Cycle 2'!G12/'Tariff Tables'!G6,5)</f>
        <v>0</v>
      </c>
      <c r="V15" s="317">
        <f>ROUND('OA Cycle 2'!B14/'Tariff Tables'!G6,5)</f>
        <v>0</v>
      </c>
      <c r="W15" s="277"/>
      <c r="X15" s="316">
        <f>ROUND('PPC Cycle 3'!C7/'Tariff Tables'!$G6,5)</f>
        <v>8.0999999999999996E-4</v>
      </c>
      <c r="Y15" s="316">
        <f>ROUND('PTD Cycle 3'!C8/'Tariff Tables'!G6,5)</f>
        <v>1.1199999999999999E-3</v>
      </c>
      <c r="Z15" s="316">
        <f>ROUND('EO Cycle 3'!G12/'Tariff Tables'!G6,5)</f>
        <v>3.8999999999999999E-4</v>
      </c>
      <c r="AA15" s="316">
        <f>ROUND('OA Cycle 3'!B15/'Tariff Tables'!G6,5)</f>
        <v>0</v>
      </c>
      <c r="AB15" s="154"/>
      <c r="AC15" s="316"/>
      <c r="AD15" s="316"/>
      <c r="AE15" s="316"/>
      <c r="AF15" s="316"/>
      <c r="AG15" s="154">
        <f ca="1">SUM($O15:OFFSET(AG15,0,-1),$O24:OFFSET(AG24,0,-1))</f>
        <v>3.7200000000000006E-3</v>
      </c>
    </row>
    <row r="16" spans="1:33" s="46" customFormat="1" ht="15" thickBot="1" x14ac:dyDescent="0.4">
      <c r="B16" s="90" t="s">
        <v>106</v>
      </c>
      <c r="C16" s="314">
        <f>+'PPC Cycle 3'!C8</f>
        <v>1500372.97</v>
      </c>
      <c r="D16" s="314">
        <f>'PTD Cycle 2'!C12+'PTD Cycle 3'!C9</f>
        <v>978836.84000000008</v>
      </c>
      <c r="E16" s="314">
        <f>+'EO Cycle 2'!G13+'EO Cycle 3'!G13</f>
        <v>726289.25</v>
      </c>
      <c r="F16" s="314">
        <f>+'OA Cycle 3'!F16</f>
        <v>0</v>
      </c>
      <c r="G16" s="123"/>
      <c r="H16" s="17"/>
      <c r="I16" s="17"/>
      <c r="J16" s="152"/>
      <c r="K16" s="17"/>
      <c r="L16" s="17"/>
      <c r="M16" s="17"/>
      <c r="O16" s="179">
        <v>0</v>
      </c>
      <c r="P16" s="179">
        <v>0</v>
      </c>
      <c r="Q16" s="237">
        <v>0</v>
      </c>
      <c r="R16" s="238"/>
      <c r="S16" s="316">
        <v>0</v>
      </c>
      <c r="T16" s="317">
        <f>ROUND(+'PTD Cycle 2'!C12/'Tariff Tables'!G7,5)</f>
        <v>0</v>
      </c>
      <c r="U16" s="318">
        <f>ROUND('EO Cycle 2'!G13/'Tariff Tables'!G7,5)</f>
        <v>0</v>
      </c>
      <c r="V16" s="317">
        <f>ROUND('OA Cycle 2'!B15/'Tariff Tables'!G7,5)</f>
        <v>0</v>
      </c>
      <c r="W16" s="277"/>
      <c r="X16" s="316">
        <f>ROUND('PPC Cycle 3'!C8/'Tariff Tables'!$G7,5)</f>
        <v>8.0000000000000004E-4</v>
      </c>
      <c r="Y16" s="316">
        <f>ROUND('PTD Cycle 3'!C9/'Tariff Tables'!G7,5)</f>
        <v>5.1999999999999995E-4</v>
      </c>
      <c r="Z16" s="316">
        <f>ROUND('EO Cycle 3'!G13/'Tariff Tables'!G7,5)</f>
        <v>3.8999999999999999E-4</v>
      </c>
      <c r="AA16" s="316">
        <f>ROUND('OA Cycle 3'!B16/'Tariff Tables'!G7,5)</f>
        <v>0</v>
      </c>
      <c r="AB16" s="154"/>
      <c r="AC16" s="316"/>
      <c r="AD16" s="316"/>
      <c r="AE16" s="316"/>
      <c r="AF16" s="316"/>
      <c r="AG16" s="154">
        <f ca="1">SUM($O16:OFFSET(AG16,0,-1),$O25:OFFSET(AG25,0,-1))</f>
        <v>1.73E-3</v>
      </c>
    </row>
    <row r="17" spans="2:33" s="46" customFormat="1" ht="15" thickBot="1" x14ac:dyDescent="0.4">
      <c r="B17" s="90" t="s">
        <v>107</v>
      </c>
      <c r="C17" s="314">
        <f>+'PPC Cycle 3'!C9</f>
        <v>667102.74</v>
      </c>
      <c r="D17" s="314">
        <f>'PTD Cycle 2'!C13+'PTD Cycle 3'!C10</f>
        <v>71065.420000000013</v>
      </c>
      <c r="E17" s="314">
        <f>+'EO Cycle 2'!G14+'EO Cycle 3'!G14</f>
        <v>173209.37999999998</v>
      </c>
      <c r="F17" s="314">
        <f>+'OA Cycle 3'!F17</f>
        <v>0</v>
      </c>
      <c r="G17" s="123"/>
      <c r="J17" s="152"/>
      <c r="K17" s="17"/>
      <c r="O17" s="179">
        <v>0</v>
      </c>
      <c r="P17" s="179">
        <v>0</v>
      </c>
      <c r="Q17" s="237">
        <v>0</v>
      </c>
      <c r="R17" s="238"/>
      <c r="S17" s="316">
        <v>0</v>
      </c>
      <c r="T17" s="317">
        <f>ROUND(+'PTD Cycle 2'!C13/'Tariff Tables'!G8,5)</f>
        <v>0</v>
      </c>
      <c r="U17" s="317">
        <f>ROUND('EO Cycle 2'!G14/'Tariff Tables'!G8,5)</f>
        <v>1.0000000000000001E-5</v>
      </c>
      <c r="V17" s="317">
        <f>ROUND('OA Cycle 2'!B16/'Tariff Tables'!G8,5)</f>
        <v>0</v>
      </c>
      <c r="W17" s="277"/>
      <c r="X17" s="316">
        <f>ROUND('PPC Cycle 3'!C9/'Tariff Tables'!$G8,5)</f>
        <v>1.2700000000000001E-3</v>
      </c>
      <c r="Y17" s="316">
        <f>ROUND('PTD Cycle 3'!C10/'Tariff Tables'!G8,5)</f>
        <v>1.3999999999999999E-4</v>
      </c>
      <c r="Z17" s="316">
        <f>ROUND('EO Cycle 3'!G14/'Tariff Tables'!G8,5)</f>
        <v>3.2000000000000003E-4</v>
      </c>
      <c r="AA17" s="316">
        <f>ROUND('OA Cycle 3'!B17/'Tariff Tables'!G8,5)</f>
        <v>0</v>
      </c>
      <c r="AB17" s="154"/>
      <c r="AC17" s="316"/>
      <c r="AD17" s="316"/>
      <c r="AE17" s="316"/>
      <c r="AF17" s="316"/>
      <c r="AG17" s="154">
        <f ca="1">SUM($O17:OFFSET(AG17,0,-1),$O26:OFFSET(AG26,0,-1))</f>
        <v>1.8700000000000001E-3</v>
      </c>
    </row>
    <row r="18" spans="2:33" x14ac:dyDescent="0.35">
      <c r="C18" s="124"/>
      <c r="D18" s="124"/>
      <c r="E18" s="124"/>
      <c r="F18" s="124"/>
      <c r="G18" s="123"/>
      <c r="J18" s="17"/>
      <c r="K18" s="17"/>
      <c r="O18" s="180"/>
      <c r="P18" s="180"/>
      <c r="Q18" s="240"/>
      <c r="R18" s="238"/>
      <c r="S18" s="238"/>
      <c r="T18" s="238"/>
      <c r="U18" s="238"/>
      <c r="V18" s="238"/>
      <c r="W18" s="277"/>
      <c r="X18" s="238"/>
      <c r="Y18" s="238"/>
      <c r="Z18" s="238"/>
      <c r="AA18" s="238"/>
      <c r="AC18" s="238"/>
      <c r="AD18" s="238"/>
      <c r="AE18" s="238"/>
      <c r="AF18" s="238"/>
      <c r="AG18" s="46"/>
    </row>
    <row r="19" spans="2:33" x14ac:dyDescent="0.35">
      <c r="C19" s="124"/>
      <c r="D19" s="124"/>
      <c r="E19" s="124"/>
      <c r="F19" s="124"/>
      <c r="G19" s="123"/>
      <c r="J19" s="17"/>
      <c r="K19" s="17"/>
      <c r="O19" s="180"/>
      <c r="P19" s="180"/>
      <c r="Q19" s="240"/>
      <c r="R19" s="238"/>
      <c r="S19" s="238"/>
      <c r="T19" s="238"/>
      <c r="U19" s="238"/>
      <c r="V19" s="238"/>
      <c r="W19" s="277"/>
      <c r="X19" s="238"/>
      <c r="Y19" s="238"/>
      <c r="Z19" s="238"/>
      <c r="AA19" s="238"/>
      <c r="AC19" s="238"/>
      <c r="AD19" s="238"/>
      <c r="AE19" s="238"/>
      <c r="AF19" s="238"/>
      <c r="AG19" s="46"/>
    </row>
    <row r="20" spans="2:33" ht="15" thickBot="1" x14ac:dyDescent="0.4">
      <c r="C20" s="124"/>
      <c r="D20" s="124"/>
      <c r="E20" s="124"/>
      <c r="F20" s="124"/>
      <c r="G20" s="123"/>
      <c r="J20" s="17"/>
      <c r="K20" s="17"/>
      <c r="O20" s="180"/>
      <c r="P20" s="180"/>
      <c r="Q20" s="240"/>
      <c r="R20" s="238"/>
      <c r="S20" s="238"/>
      <c r="T20" s="238"/>
      <c r="U20" s="238"/>
      <c r="V20" s="238"/>
      <c r="W20" s="277"/>
      <c r="X20" s="238"/>
      <c r="Y20" s="238"/>
      <c r="Z20" s="238"/>
      <c r="AA20" s="238"/>
      <c r="AC20" s="238"/>
      <c r="AD20" s="238"/>
      <c r="AE20" s="238"/>
      <c r="AF20" s="238"/>
      <c r="AG20" s="46"/>
    </row>
    <row r="21" spans="2:33" ht="15" thickBot="1" x14ac:dyDescent="0.4">
      <c r="B21" s="87" t="s">
        <v>7</v>
      </c>
      <c r="C21" s="128" t="s">
        <v>4</v>
      </c>
      <c r="D21" s="128" t="s">
        <v>9</v>
      </c>
      <c r="E21" s="128" t="s">
        <v>58</v>
      </c>
      <c r="F21" s="128" t="s">
        <v>18</v>
      </c>
      <c r="G21" s="123"/>
      <c r="O21" s="181" t="s">
        <v>76</v>
      </c>
      <c r="P21" s="181" t="s">
        <v>77</v>
      </c>
      <c r="Q21" s="241" t="s">
        <v>81</v>
      </c>
      <c r="R21" s="238"/>
      <c r="S21" s="242" t="s">
        <v>78</v>
      </c>
      <c r="T21" s="242" t="s">
        <v>79</v>
      </c>
      <c r="U21" s="241" t="s">
        <v>103</v>
      </c>
      <c r="V21" s="242" t="s">
        <v>91</v>
      </c>
      <c r="W21" s="277"/>
      <c r="X21" s="242" t="s">
        <v>116</v>
      </c>
      <c r="Y21" s="242" t="s">
        <v>117</v>
      </c>
      <c r="Z21" s="241" t="s">
        <v>118</v>
      </c>
      <c r="AA21" s="242" t="s">
        <v>119</v>
      </c>
      <c r="AC21" s="242" t="s">
        <v>248</v>
      </c>
      <c r="AD21" s="242" t="s">
        <v>249</v>
      </c>
      <c r="AE21" s="241" t="s">
        <v>250</v>
      </c>
      <c r="AF21" s="242" t="s">
        <v>251</v>
      </c>
      <c r="AG21" s="46"/>
    </row>
    <row r="22" spans="2:33" ht="15" thickBot="1" x14ac:dyDescent="0.4">
      <c r="B22" s="90" t="s">
        <v>24</v>
      </c>
      <c r="C22" s="314">
        <f>'PCR Cycle 4'!K4+'PCR Cycle 3'!K4+'PCR Cycle 2'!K4</f>
        <v>756547.98000000021</v>
      </c>
      <c r="D22" s="314">
        <f>'TDR Cycle 3'!K4+'TDR Cycle 2'!K4</f>
        <v>27818.953239999872</v>
      </c>
      <c r="E22" s="314">
        <f>+'EOR Cycle 2'!J4+'EOR Cycle 3'!J4</f>
        <v>209137.94151999993</v>
      </c>
      <c r="F22" s="314">
        <f>+'OAR Cycle 2'!I4+'OAR Cycle 3'!I4</f>
        <v>-83165.321680000066</v>
      </c>
      <c r="G22" s="123"/>
      <c r="O22" s="179">
        <v>0</v>
      </c>
      <c r="P22" s="179">
        <v>0</v>
      </c>
      <c r="Q22" s="239">
        <v>0</v>
      </c>
      <c r="R22" s="238"/>
      <c r="S22" s="316">
        <f>ROUND(+'PCR Cycle 2'!K4/'Tariff Tables'!G4,5)</f>
        <v>0</v>
      </c>
      <c r="T22" s="316">
        <f>ROUND(+'TDR Cycle 2'!K4/'Tariff Tables'!G4,5)</f>
        <v>5.0000000000000002E-5</v>
      </c>
      <c r="U22" s="316">
        <f>ROUND('EOR Cycle 2'!J4/'Tariff Tables'!G4,5)</f>
        <v>-2.0000000000000002E-5</v>
      </c>
      <c r="V22" s="316">
        <f>ROUND('OAR Cycle 2'!I4/'Tariff Tables'!G4,5)</f>
        <v>0</v>
      </c>
      <c r="W22" s="277"/>
      <c r="X22" s="316">
        <f>ROUND('PCR Cycle 3'!K4/'Tariff Tables'!G4,5)</f>
        <v>2.5999999999999998E-4</v>
      </c>
      <c r="Y22" s="316">
        <f>ROUND('TDR Cycle 3'!K4/'Tariff Tables'!G4,5)</f>
        <v>-4.0000000000000003E-5</v>
      </c>
      <c r="Z22" s="316">
        <f>ROUND(+'EOR Cycle 3'!J4/'Tariff Tables'!G4,5)</f>
        <v>9.0000000000000006E-5</v>
      </c>
      <c r="AA22" s="316">
        <f>ROUND(('OAR Cycle 3'!I4)/'Tariff Tables'!G4,5)</f>
        <v>-3.0000000000000001E-5</v>
      </c>
      <c r="AC22" s="316">
        <f>ROUND('PCR Cycle 4'!K4/'Tariff Tables'!$G4,5)</f>
        <v>1.0000000000000001E-5</v>
      </c>
      <c r="AD22" s="316"/>
      <c r="AE22" s="316"/>
      <c r="AF22" s="316"/>
      <c r="AG22" s="46"/>
    </row>
    <row r="23" spans="2:33" ht="15" thickBot="1" x14ac:dyDescent="0.4">
      <c r="B23" s="90" t="s">
        <v>104</v>
      </c>
      <c r="C23" s="314">
        <f>'PCR Cycle 4'!K5+'PCR Cycle 3'!K5+'PCR Cycle 2'!K8</f>
        <v>-177615.35216020208</v>
      </c>
      <c r="D23" s="314">
        <f>'TDR Cycle 3'!K5+'TDR Cycle 2'!K8</f>
        <v>-28326.038810000075</v>
      </c>
      <c r="E23" s="314">
        <f>+'EOR Cycle 2'!J8+'EOR Cycle 3'!J5</f>
        <v>16100.345289999997</v>
      </c>
      <c r="F23" s="314">
        <f>+'OAR Cycle 2'!I9+'OAR Cycle 3'!I5</f>
        <v>-328.20000000000067</v>
      </c>
      <c r="G23" s="123"/>
      <c r="O23" s="179">
        <v>0</v>
      </c>
      <c r="P23" s="179">
        <v>0</v>
      </c>
      <c r="Q23" s="239">
        <v>0</v>
      </c>
      <c r="R23" s="238"/>
      <c r="S23" s="316">
        <f>ROUND(+'PCR Cycle 2'!K8/'Tariff Tables'!G5,5)</f>
        <v>0</v>
      </c>
      <c r="T23" s="316">
        <f>ROUND(+'TDR Cycle 2'!K8/'Tariff Tables'!G5,5)</f>
        <v>3.0000000000000001E-5</v>
      </c>
      <c r="U23" s="316">
        <f>ROUND('EOR Cycle 2'!J8/'Tariff Tables'!G5,5)</f>
        <v>1.0000000000000001E-5</v>
      </c>
      <c r="V23" s="316">
        <f>ROUND('OAR Cycle 2'!I8/'Tariff Tables'!G5,5)</f>
        <v>0</v>
      </c>
      <c r="W23" s="277"/>
      <c r="X23" s="316">
        <f>ROUND('PCR Cycle 3'!K5/'Tariff Tables'!G5,5)</f>
        <v>-2.7999999999999998E-4</v>
      </c>
      <c r="Y23" s="316">
        <f>ROUND('TDR Cycle 3'!K5/'Tariff Tables'!G5,5)</f>
        <v>-6.9999999999999994E-5</v>
      </c>
      <c r="Z23" s="316">
        <f>ROUND(+'EOR Cycle 3'!J5/'Tariff Tables'!G5,5)</f>
        <v>2.0000000000000002E-5</v>
      </c>
      <c r="AA23" s="316">
        <f>ROUND(('OAR Cycle 3'!I5-'OAR Cycle 3'!G5)/'Tariff Tables'!G5,5)</f>
        <v>0</v>
      </c>
      <c r="AC23" s="316">
        <f>ROUND('PCR Cycle 4'!K5/'Tariff Tables'!$G5,5)</f>
        <v>0</v>
      </c>
      <c r="AD23" s="316"/>
      <c r="AE23" s="316"/>
      <c r="AF23" s="316"/>
      <c r="AG23" s="46"/>
    </row>
    <row r="24" spans="2:33" s="46" customFormat="1" ht="15" thickBot="1" x14ac:dyDescent="0.4">
      <c r="B24" s="90" t="s">
        <v>105</v>
      </c>
      <c r="C24" s="314">
        <f>'PCR Cycle 4'!K6+'PCR Cycle 3'!K6+'PCR Cycle 2'!K9</f>
        <v>1222387.6200000006</v>
      </c>
      <c r="D24" s="314">
        <f>'TDR Cycle 3'!K6+'TDR Cycle 2'!K9</f>
        <v>325595.34664999996</v>
      </c>
      <c r="E24" s="314">
        <f>+'EOR Cycle 2'!J9+'EOR Cycle 3'!J6</f>
        <v>66921.771950000009</v>
      </c>
      <c r="F24" s="314">
        <f>+'OAR Cycle 2'!I10+'OAR Cycle 3'!I6</f>
        <v>-251.49000000000049</v>
      </c>
      <c r="G24" s="123"/>
      <c r="O24" s="179">
        <v>0</v>
      </c>
      <c r="P24" s="179">
        <v>0</v>
      </c>
      <c r="Q24" s="239">
        <v>0</v>
      </c>
      <c r="R24" s="238"/>
      <c r="S24" s="316">
        <f>ROUND(+'PCR Cycle 2'!K9/'Tariff Tables'!G6,5)</f>
        <v>0</v>
      </c>
      <c r="T24" s="316">
        <f>ROUND(+'TDR Cycle 2'!K9/'Tariff Tables'!G6,5)</f>
        <v>4.0000000000000003E-5</v>
      </c>
      <c r="U24" s="316">
        <f>ROUND('EOR Cycle 2'!J9/'Tariff Tables'!G6,5)</f>
        <v>1.0000000000000001E-5</v>
      </c>
      <c r="V24" s="316">
        <f>ROUND('OAR Cycle 2'!I9/'Tariff Tables'!G6,5)</f>
        <v>0</v>
      </c>
      <c r="W24" s="277"/>
      <c r="X24" s="316">
        <f>ROUND('PCR Cycle 3'!K6/'Tariff Tables'!G6,5)</f>
        <v>1.0499999999999999E-3</v>
      </c>
      <c r="Y24" s="316">
        <f>ROUND('TDR Cycle 3'!K6/'Tariff Tables'!G6,5)</f>
        <v>2.4000000000000001E-4</v>
      </c>
      <c r="Z24" s="316">
        <f>ROUND(+'EOR Cycle 3'!J6/'Tariff Tables'!G6,5)</f>
        <v>5.0000000000000002E-5</v>
      </c>
      <c r="AA24" s="316">
        <f>ROUND(('OAR Cycle 3'!I6-'OAR Cycle 3'!G6)/'Tariff Tables'!G6,5)</f>
        <v>0</v>
      </c>
      <c r="AC24" s="316">
        <f>ROUND('PCR Cycle 4'!K6/'Tariff Tables'!$G6,5)</f>
        <v>1.0000000000000001E-5</v>
      </c>
      <c r="AD24" s="316"/>
      <c r="AE24" s="316"/>
      <c r="AF24" s="316"/>
    </row>
    <row r="25" spans="2:33" s="46" customFormat="1" ht="15" thickBot="1" x14ac:dyDescent="0.4">
      <c r="B25" s="90" t="s">
        <v>106</v>
      </c>
      <c r="C25" s="314">
        <f>'PCR Cycle 4'!K7+'PCR Cycle 3'!K7+'PCR Cycle 2'!K10</f>
        <v>-265999.94999999995</v>
      </c>
      <c r="D25" s="314">
        <f>'TDR Cycle 3'!K7+'TDR Cycle 2'!K10</f>
        <v>157182.27076000004</v>
      </c>
      <c r="E25" s="314">
        <f>+'EOR Cycle 2'!J10+'EOR Cycle 3'!J7</f>
        <v>147048.16760000004</v>
      </c>
      <c r="F25" s="314">
        <f>+'OAR Cycle 2'!I11+'OAR Cycle 3'!I7</f>
        <v>963.19000000000017</v>
      </c>
      <c r="G25" s="123"/>
      <c r="O25" s="179">
        <v>0</v>
      </c>
      <c r="P25" s="179">
        <v>0</v>
      </c>
      <c r="Q25" s="239">
        <v>0</v>
      </c>
      <c r="R25" s="238"/>
      <c r="S25" s="316">
        <f>ROUND(+'PCR Cycle 2'!K10/'Tariff Tables'!G7,5)</f>
        <v>0</v>
      </c>
      <c r="T25" s="337">
        <f>ROUND(+'TDR Cycle 2'!K10/'Tariff Tables'!G7,5)+0.00001</f>
        <v>4.0000000000000003E-5</v>
      </c>
      <c r="U25" s="316">
        <f>ROUND('EOR Cycle 2'!J10/'Tariff Tables'!G7,5)</f>
        <v>1.0000000000000001E-5</v>
      </c>
      <c r="V25" s="316">
        <f>ROUND('OAR Cycle 2'!I10/'Tariff Tables'!G7,5)</f>
        <v>0</v>
      </c>
      <c r="W25" s="277"/>
      <c r="X25" s="337">
        <f>ROUND('PCR Cycle 3'!K7/'Tariff Tables'!G7,5)-0.00001</f>
        <v>-1.5999999999999999E-4</v>
      </c>
      <c r="Y25" s="316">
        <f>ROUND('TDR Cycle 3'!K7/'Tariff Tables'!G7,5)</f>
        <v>5.0000000000000002E-5</v>
      </c>
      <c r="Z25" s="316">
        <f>ROUND(+'EOR Cycle 3'!J7/'Tariff Tables'!G7,5)</f>
        <v>6.9999999999999994E-5</v>
      </c>
      <c r="AA25" s="316">
        <f>ROUND(('OAR Cycle 3'!I7-'OAR Cycle 3'!G7)/'Tariff Tables'!G7,5)</f>
        <v>0</v>
      </c>
      <c r="AC25" s="316">
        <f>ROUND('PCR Cycle 4'!K7/'Tariff Tables'!$G7,5)</f>
        <v>1.0000000000000001E-5</v>
      </c>
      <c r="AD25" s="316"/>
      <c r="AE25" s="316"/>
      <c r="AF25" s="316"/>
    </row>
    <row r="26" spans="2:33" s="46" customFormat="1" ht="15" thickBot="1" x14ac:dyDescent="0.4">
      <c r="B26" s="90" t="s">
        <v>107</v>
      </c>
      <c r="C26" s="314">
        <f>'PCR Cycle 4'!K8+'PCR Cycle 3'!K8+'PCR Cycle 2'!K11</f>
        <v>50453.432160202916</v>
      </c>
      <c r="D26" s="314">
        <f>'TDR Cycle 3'!K8+'TDR Cycle 2'!K11</f>
        <v>5163.988960000016</v>
      </c>
      <c r="E26" s="314">
        <f>+'EOR Cycle 2'!J11+'EOR Cycle 3'!J8</f>
        <v>14332.532009999995</v>
      </c>
      <c r="F26" s="314">
        <f>+'OAR Cycle 2'!I12+'OAR Cycle 3'!I8</f>
        <v>-383.50000000000028</v>
      </c>
      <c r="G26" s="123"/>
      <c r="O26" s="179">
        <v>0</v>
      </c>
      <c r="P26" s="179">
        <v>0</v>
      </c>
      <c r="Q26" s="239">
        <v>0</v>
      </c>
      <c r="R26" s="238"/>
      <c r="S26" s="316">
        <f>ROUND(+'PCR Cycle 2'!K11/'Tariff Tables'!G8,5)</f>
        <v>0</v>
      </c>
      <c r="T26" s="337">
        <f>ROUND(+'TDR Cycle 2'!K11/'Tariff Tables'!G8,5)-0.00001</f>
        <v>1.0000000000000001E-5</v>
      </c>
      <c r="U26" s="316">
        <f>ROUND('EOR Cycle 2'!J11/'Tariff Tables'!G8,5)</f>
        <v>1.0000000000000001E-5</v>
      </c>
      <c r="V26" s="316">
        <f>ROUND('OAR Cycle 2'!I11/'Tariff Tables'!G8,5)</f>
        <v>0</v>
      </c>
      <c r="W26" s="277"/>
      <c r="X26" s="337">
        <f>ROUND('PCR Cycle 3'!K8/'Tariff Tables'!G8,5)+0.00001</f>
        <v>7.9999999999999993E-5</v>
      </c>
      <c r="Y26" s="316">
        <f>ROUND('TDR Cycle 3'!K8/'Tariff Tables'!G8,5)</f>
        <v>-1.0000000000000001E-5</v>
      </c>
      <c r="Z26" s="316">
        <f>ROUND(+'EOR Cycle 3'!J8/'Tariff Tables'!G8,5)</f>
        <v>2.0000000000000002E-5</v>
      </c>
      <c r="AA26" s="316">
        <f>ROUND(('OAR Cycle 3'!I8-'OAR Cycle 3'!G8)/'Tariff Tables'!G8,5)</f>
        <v>0</v>
      </c>
      <c r="AC26" s="316">
        <f>ROUND('PCR Cycle 4'!K8/'Tariff Tables'!$G8,5)</f>
        <v>2.0000000000000002E-5</v>
      </c>
      <c r="AD26" s="316"/>
      <c r="AE26" s="316"/>
      <c r="AF26" s="316"/>
    </row>
    <row r="27" spans="2:33" x14ac:dyDescent="0.35">
      <c r="F27" s="123"/>
      <c r="O27" s="46"/>
      <c r="P27" s="46"/>
      <c r="R27" s="46"/>
      <c r="S27" s="46"/>
      <c r="T27" s="46"/>
    </row>
    <row r="28" spans="2:33" x14ac:dyDescent="0.35">
      <c r="B28" s="93" t="s">
        <v>38</v>
      </c>
      <c r="R28" t="s">
        <v>148</v>
      </c>
      <c r="S28" s="153">
        <f>+J4-O13-O22-S13-S22-X13-X22-AC13-AC22</f>
        <v>-1.3721933745519665E-19</v>
      </c>
      <c r="T28" s="153">
        <f t="shared" ref="T28:V28" si="2">+K4-P13-P22-T13-T22-Y13-Y22-AD13-AD22</f>
        <v>6.7762635780344027E-21</v>
      </c>
      <c r="U28" s="153">
        <f t="shared" si="2"/>
        <v>1.3552527156068805E-20</v>
      </c>
      <c r="V28" s="153">
        <f t="shared" si="2"/>
        <v>0</v>
      </c>
    </row>
    <row r="29" spans="2:33" x14ac:dyDescent="0.35">
      <c r="B29" s="94" t="s">
        <v>39</v>
      </c>
      <c r="R29" t="s">
        <v>149</v>
      </c>
      <c r="S29" s="153">
        <f t="shared" ref="S29:V29" si="3">+J5-O14-O23-S14-S23-X14-X23-AC14-AC23</f>
        <v>-1.0842021724855044E-19</v>
      </c>
      <c r="T29" s="153">
        <f t="shared" si="3"/>
        <v>2.7105054312137611E-20</v>
      </c>
      <c r="U29" s="153">
        <f t="shared" si="3"/>
        <v>-3.3881317890172014E-21</v>
      </c>
      <c r="V29" s="153">
        <f t="shared" si="3"/>
        <v>0</v>
      </c>
    </row>
    <row r="30" spans="2:33" x14ac:dyDescent="0.35">
      <c r="B30" s="94" t="s">
        <v>42</v>
      </c>
      <c r="R30" t="s">
        <v>150</v>
      </c>
      <c r="S30" s="153">
        <f t="shared" ref="S30:V30" si="4">+J6-O15-O24-S15-S24-X15-X24-AC15-AC24</f>
        <v>2.541098841762901E-20</v>
      </c>
      <c r="T30" s="153">
        <f t="shared" si="4"/>
        <v>-2.7105054312137611E-20</v>
      </c>
      <c r="U30" s="153">
        <f t="shared" si="4"/>
        <v>-3.3881317890172014E-20</v>
      </c>
      <c r="V30" s="153">
        <f t="shared" si="4"/>
        <v>0</v>
      </c>
    </row>
    <row r="31" spans="2:33" x14ac:dyDescent="0.35">
      <c r="B31" s="94" t="s">
        <v>141</v>
      </c>
      <c r="R31" t="s">
        <v>151</v>
      </c>
      <c r="S31" s="153">
        <f t="shared" ref="S31:V31" si="5">+J7-O16-O25-S16-S25-X16-X25-AC16-AC25</f>
        <v>-8.3009228830921433E-20</v>
      </c>
      <c r="T31" s="153">
        <f t="shared" si="5"/>
        <v>2.0328790734103208E-20</v>
      </c>
      <c r="U31" s="153">
        <f t="shared" si="5"/>
        <v>-2.7105054312137611E-20</v>
      </c>
      <c r="V31" s="153">
        <f t="shared" si="5"/>
        <v>0</v>
      </c>
    </row>
    <row r="32" spans="2:33" x14ac:dyDescent="0.35">
      <c r="B32" s="94" t="s">
        <v>40</v>
      </c>
      <c r="R32" t="s">
        <v>152</v>
      </c>
      <c r="S32" s="153">
        <f t="shared" ref="S32:V32" si="6">+J8-O17-O26-S17-S26-X17-X26-AC17-AC26</f>
        <v>5.082197683525802E-20</v>
      </c>
      <c r="T32" s="153">
        <f t="shared" si="6"/>
        <v>1.6940658945086007E-21</v>
      </c>
      <c r="U32" s="153">
        <f t="shared" si="6"/>
        <v>-5.7598240413292423E-20</v>
      </c>
      <c r="V32" s="153">
        <f t="shared" si="6"/>
        <v>0</v>
      </c>
    </row>
    <row r="33" spans="2:20" x14ac:dyDescent="0.35">
      <c r="B33" s="94" t="s">
        <v>146</v>
      </c>
      <c r="O33" s="247"/>
      <c r="P33" s="247"/>
      <c r="Q33" s="247"/>
      <c r="R33" s="147"/>
      <c r="S33" s="46"/>
      <c r="T33" s="46"/>
    </row>
    <row r="34" spans="2:20" x14ac:dyDescent="0.35">
      <c r="B34" s="94" t="s">
        <v>140</v>
      </c>
      <c r="O34" s="147"/>
      <c r="P34" s="147"/>
      <c r="Q34" s="248"/>
      <c r="R34" s="147"/>
      <c r="S34" s="46"/>
      <c r="T34" s="46"/>
    </row>
    <row r="35" spans="2:20" x14ac:dyDescent="0.35">
      <c r="B35" s="94" t="s">
        <v>47</v>
      </c>
      <c r="O35" s="249"/>
      <c r="P35" s="147"/>
      <c r="Q35" s="248"/>
      <c r="R35" s="147"/>
      <c r="S35" s="46"/>
      <c r="T35" s="46"/>
    </row>
    <row r="36" spans="2:20" x14ac:dyDescent="0.35">
      <c r="B36" s="94" t="s">
        <v>145</v>
      </c>
      <c r="O36" s="250"/>
      <c r="P36" s="251"/>
      <c r="Q36" s="248"/>
      <c r="R36" s="248"/>
      <c r="S36" s="46"/>
      <c r="T36" s="46"/>
    </row>
    <row r="37" spans="2:20" x14ac:dyDescent="0.35">
      <c r="B37" s="94" t="s">
        <v>142</v>
      </c>
      <c r="O37" s="250"/>
      <c r="P37" s="251"/>
      <c r="Q37" s="248"/>
      <c r="R37" s="248"/>
      <c r="S37" s="46"/>
      <c r="T37" s="46"/>
    </row>
    <row r="38" spans="2:20" x14ac:dyDescent="0.35">
      <c r="B38" s="94" t="s">
        <v>143</v>
      </c>
      <c r="O38" s="250"/>
      <c r="P38" s="251"/>
      <c r="Q38" s="248"/>
      <c r="R38" s="248"/>
      <c r="S38" s="46"/>
      <c r="T38" s="46"/>
    </row>
    <row r="39" spans="2:20" x14ac:dyDescent="0.35">
      <c r="B39" s="94" t="s">
        <v>147</v>
      </c>
      <c r="O39" s="250"/>
      <c r="P39" s="251"/>
      <c r="Q39" s="248"/>
      <c r="R39" s="248"/>
      <c r="S39" s="46"/>
      <c r="T39" s="46"/>
    </row>
    <row r="40" spans="2:20" x14ac:dyDescent="0.35">
      <c r="B40" s="94" t="s">
        <v>41</v>
      </c>
      <c r="O40" s="250"/>
      <c r="P40" s="251"/>
      <c r="Q40" s="248"/>
      <c r="R40" s="248"/>
      <c r="S40" s="46"/>
      <c r="T40" s="46"/>
    </row>
    <row r="41" spans="2:20" x14ac:dyDescent="0.35">
      <c r="B41" s="94" t="s">
        <v>144</v>
      </c>
      <c r="O41" s="250"/>
      <c r="P41" s="251"/>
      <c r="Q41" s="248"/>
      <c r="R41" s="248"/>
      <c r="S41" s="46"/>
      <c r="T41" s="46"/>
    </row>
    <row r="42" spans="2:20" x14ac:dyDescent="0.35">
      <c r="B42" s="94" t="s">
        <v>185</v>
      </c>
      <c r="O42" s="252"/>
      <c r="P42" s="251"/>
      <c r="Q42" s="248"/>
      <c r="R42" s="248"/>
      <c r="S42" s="46"/>
      <c r="T42" s="46"/>
    </row>
    <row r="43" spans="2:20" x14ac:dyDescent="0.35">
      <c r="B43" s="94" t="s">
        <v>186</v>
      </c>
      <c r="O43" s="147"/>
      <c r="P43" s="253"/>
      <c r="Q43" s="248"/>
      <c r="R43" s="248"/>
      <c r="S43" s="46"/>
      <c r="T43" s="46"/>
    </row>
    <row r="44" spans="2:20" x14ac:dyDescent="0.35">
      <c r="O44" s="249"/>
      <c r="P44" s="147"/>
      <c r="Q44" s="248"/>
      <c r="R44" s="248"/>
      <c r="S44" s="46"/>
      <c r="T44" s="46"/>
    </row>
    <row r="45" spans="2:20" x14ac:dyDescent="0.35">
      <c r="O45" s="250"/>
      <c r="P45" s="251"/>
      <c r="Q45" s="248"/>
      <c r="R45" s="248"/>
      <c r="S45" s="46"/>
      <c r="T45" s="46"/>
    </row>
    <row r="46" spans="2:20" x14ac:dyDescent="0.35">
      <c r="O46" s="250"/>
      <c r="P46" s="251"/>
      <c r="Q46" s="248"/>
      <c r="R46" s="248"/>
      <c r="S46" s="46"/>
      <c r="T46" s="46"/>
    </row>
    <row r="47" spans="2:20" x14ac:dyDescent="0.35">
      <c r="O47" s="250"/>
      <c r="P47" s="251"/>
      <c r="Q47" s="248"/>
      <c r="R47" s="248"/>
      <c r="S47" s="46"/>
      <c r="T47" s="46"/>
    </row>
    <row r="48" spans="2:20" x14ac:dyDescent="0.35">
      <c r="O48" s="250"/>
      <c r="P48" s="251"/>
      <c r="Q48" s="248"/>
      <c r="R48" s="248"/>
      <c r="S48" s="46"/>
      <c r="T48" s="46"/>
    </row>
    <row r="49" spans="15:20" x14ac:dyDescent="0.35">
      <c r="O49" s="250"/>
      <c r="P49" s="251"/>
      <c r="Q49" s="248"/>
      <c r="R49" s="248"/>
      <c r="S49" s="46"/>
      <c r="T49" s="46"/>
    </row>
    <row r="50" spans="15:20" x14ac:dyDescent="0.35">
      <c r="O50" s="250"/>
      <c r="P50" s="251"/>
      <c r="Q50" s="248"/>
      <c r="R50" s="248"/>
      <c r="S50" s="46"/>
      <c r="T50" s="46"/>
    </row>
    <row r="51" spans="15:20" x14ac:dyDescent="0.35">
      <c r="O51" s="252"/>
      <c r="P51" s="251"/>
      <c r="Q51" s="248"/>
      <c r="R51" s="248"/>
    </row>
    <row r="52" spans="15:20" x14ac:dyDescent="0.35">
      <c r="O52" s="147"/>
      <c r="P52" s="253"/>
      <c r="Q52" s="248"/>
      <c r="R52" s="248"/>
    </row>
    <row r="53" spans="15:20" x14ac:dyDescent="0.35">
      <c r="O53" s="147"/>
      <c r="P53" s="147"/>
      <c r="Q53" s="248"/>
      <c r="R53" s="248"/>
    </row>
    <row r="54" spans="15:20" x14ac:dyDescent="0.35">
      <c r="O54" s="147"/>
      <c r="P54" s="147"/>
      <c r="Q54" s="147"/>
      <c r="R54" s="147"/>
    </row>
    <row r="55" spans="15:20" x14ac:dyDescent="0.35">
      <c r="O55" s="147"/>
      <c r="P55" s="147"/>
      <c r="Q55" s="147"/>
      <c r="R55" s="147"/>
    </row>
    <row r="56" spans="15:20" x14ac:dyDescent="0.35">
      <c r="O56" s="147"/>
      <c r="P56" s="147"/>
      <c r="Q56" s="147"/>
      <c r="R56" s="147"/>
    </row>
    <row r="57" spans="15:20" x14ac:dyDescent="0.35">
      <c r="O57" s="147"/>
      <c r="P57" s="147"/>
      <c r="Q57" s="147"/>
      <c r="R57" s="147"/>
    </row>
  </sheetData>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42"/>
  <sheetViews>
    <sheetView workbookViewId="0"/>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5" width="11" customWidth="1"/>
    <col min="6" max="6" width="10.1796875" bestFit="1" customWidth="1"/>
    <col min="7" max="7" width="9" bestFit="1" customWidth="1"/>
  </cols>
  <sheetData>
    <row r="3" spans="1:6" ht="15" thickBot="1" x14ac:dyDescent="0.4">
      <c r="A3" s="3" t="s">
        <v>124</v>
      </c>
    </row>
    <row r="4" spans="1:6" ht="27.5" thickBot="1" x14ac:dyDescent="0.4">
      <c r="A4" s="87" t="s">
        <v>131</v>
      </c>
      <c r="B4" s="127" t="s">
        <v>130</v>
      </c>
      <c r="C4" s="127" t="s">
        <v>129</v>
      </c>
      <c r="D4" s="127" t="s">
        <v>128</v>
      </c>
      <c r="E4" s="127" t="s">
        <v>127</v>
      </c>
      <c r="F4" s="89" t="s">
        <v>153</v>
      </c>
    </row>
    <row r="5" spans="1:6" ht="15" thickBot="1" x14ac:dyDescent="0.4">
      <c r="A5" s="90" t="s">
        <v>24</v>
      </c>
      <c r="B5" s="319">
        <f>+'Tariff Tables'!S13+'Tariff Tables'!S22</f>
        <v>0</v>
      </c>
      <c r="C5" s="319">
        <f>+'Tariff Tables'!T13+'Tariff Tables'!T22</f>
        <v>5.0000000000000002E-5</v>
      </c>
      <c r="D5" s="319">
        <f>+'Tariff Tables'!U13+'Tariff Tables'!U22</f>
        <v>-2.0000000000000002E-5</v>
      </c>
      <c r="E5" s="319">
        <f>+'Tariff Tables'!V13+'Tariff Tables'!V22</f>
        <v>0</v>
      </c>
      <c r="F5" s="233">
        <f>SUM(B5:E5)</f>
        <v>3.0000000000000001E-5</v>
      </c>
    </row>
    <row r="6" spans="1:6" ht="15" thickBot="1" x14ac:dyDescent="0.4">
      <c r="A6" s="90" t="s">
        <v>104</v>
      </c>
      <c r="B6" s="319">
        <f>+'Tariff Tables'!S14+'Tariff Tables'!S23</f>
        <v>0</v>
      </c>
      <c r="C6" s="319">
        <f>+'Tariff Tables'!T14+'Tariff Tables'!T23</f>
        <v>3.0000000000000001E-5</v>
      </c>
      <c r="D6" s="319">
        <f>+'Tariff Tables'!U14+'Tariff Tables'!U23</f>
        <v>0</v>
      </c>
      <c r="E6" s="319">
        <f>+'Tariff Tables'!V14+'Tariff Tables'!V23</f>
        <v>0</v>
      </c>
      <c r="F6" s="233">
        <f t="shared" ref="F6:F9" si="0">SUM(B6:E6)</f>
        <v>3.0000000000000001E-5</v>
      </c>
    </row>
    <row r="7" spans="1:6" ht="15" thickBot="1" x14ac:dyDescent="0.4">
      <c r="A7" s="90" t="s">
        <v>105</v>
      </c>
      <c r="B7" s="319">
        <f>+'Tariff Tables'!S15+'Tariff Tables'!S24</f>
        <v>0</v>
      </c>
      <c r="C7" s="319">
        <f>+'Tariff Tables'!T15+'Tariff Tables'!T24</f>
        <v>4.0000000000000003E-5</v>
      </c>
      <c r="D7" s="319">
        <f>+'Tariff Tables'!U15+'Tariff Tables'!U24</f>
        <v>1.0000000000000001E-5</v>
      </c>
      <c r="E7" s="319">
        <f>+'Tariff Tables'!V15+'Tariff Tables'!V24</f>
        <v>0</v>
      </c>
      <c r="F7" s="233">
        <f t="shared" si="0"/>
        <v>5.0000000000000002E-5</v>
      </c>
    </row>
    <row r="8" spans="1:6" ht="15" thickBot="1" x14ac:dyDescent="0.4">
      <c r="A8" s="90" t="s">
        <v>106</v>
      </c>
      <c r="B8" s="319">
        <f>+'Tariff Tables'!S16+'Tariff Tables'!S25</f>
        <v>0</v>
      </c>
      <c r="C8" s="319">
        <f>+'Tariff Tables'!T16+'Tariff Tables'!T25</f>
        <v>4.0000000000000003E-5</v>
      </c>
      <c r="D8" s="319">
        <f>+'Tariff Tables'!U16+'Tariff Tables'!U25</f>
        <v>1.0000000000000001E-5</v>
      </c>
      <c r="E8" s="319">
        <f>+'Tariff Tables'!V16+'Tariff Tables'!V25</f>
        <v>0</v>
      </c>
      <c r="F8" s="233">
        <f t="shared" si="0"/>
        <v>5.0000000000000002E-5</v>
      </c>
    </row>
    <row r="9" spans="1:6" ht="15" thickBot="1" x14ac:dyDescent="0.4">
      <c r="A9" s="90" t="s">
        <v>107</v>
      </c>
      <c r="B9" s="319">
        <f>+'Tariff Tables'!S17+'Tariff Tables'!S26</f>
        <v>0</v>
      </c>
      <c r="C9" s="319">
        <f>+'Tariff Tables'!T17+'Tariff Tables'!T26</f>
        <v>1.0000000000000001E-5</v>
      </c>
      <c r="D9" s="319">
        <f>+'Tariff Tables'!U17+'Tariff Tables'!U26</f>
        <v>2.0000000000000002E-5</v>
      </c>
      <c r="E9" s="319">
        <f>+'Tariff Tables'!V17+'Tariff Tables'!V26</f>
        <v>0</v>
      </c>
      <c r="F9" s="233">
        <f t="shared" si="0"/>
        <v>3.0000000000000004E-5</v>
      </c>
    </row>
    <row r="12" spans="1:6" ht="15" thickBot="1" x14ac:dyDescent="0.4">
      <c r="A12" s="3" t="s">
        <v>125</v>
      </c>
      <c r="B12" s="46"/>
      <c r="C12" s="46"/>
      <c r="D12" s="46"/>
      <c r="E12" s="46"/>
      <c r="F12" s="46"/>
    </row>
    <row r="13" spans="1:6" ht="27.5" thickBot="1" x14ac:dyDescent="0.4">
      <c r="A13" s="87" t="s">
        <v>131</v>
      </c>
      <c r="B13" s="127" t="s">
        <v>130</v>
      </c>
      <c r="C13" s="127" t="s">
        <v>129</v>
      </c>
      <c r="D13" s="127" t="s">
        <v>128</v>
      </c>
      <c r="E13" s="127" t="s">
        <v>127</v>
      </c>
      <c r="F13" s="89" t="s">
        <v>153</v>
      </c>
    </row>
    <row r="14" spans="1:6" ht="15" thickBot="1" x14ac:dyDescent="0.4">
      <c r="A14" s="90" t="s">
        <v>24</v>
      </c>
      <c r="B14" s="319">
        <f>+'Tariff Tables'!X13+'Tariff Tables'!X22</f>
        <v>1.7000000000000001E-3</v>
      </c>
      <c r="C14" s="319">
        <f>+'Tariff Tables'!Y13+'Tariff Tables'!Y22</f>
        <v>8.7000000000000001E-4</v>
      </c>
      <c r="D14" s="319">
        <f>+'Tariff Tables'!Z13+'Tariff Tables'!Z22</f>
        <v>7.1000000000000002E-4</v>
      </c>
      <c r="E14" s="319">
        <f>+'Tariff Tables'!AA13+'Tariff Tables'!AA22</f>
        <v>-3.0000000000000001E-5</v>
      </c>
      <c r="F14" s="233">
        <f>SUM(B14:E14)</f>
        <v>3.2500000000000003E-3</v>
      </c>
    </row>
    <row r="15" spans="1:6" ht="15" thickBot="1" x14ac:dyDescent="0.4">
      <c r="A15" s="90" t="s">
        <v>104</v>
      </c>
      <c r="B15" s="319">
        <f>+'Tariff Tables'!X14+'Tariff Tables'!X23</f>
        <v>4.0000000000000007E-4</v>
      </c>
      <c r="C15" s="319">
        <f>+'Tariff Tables'!Y14+'Tariff Tables'!Y23</f>
        <v>7.1000000000000002E-4</v>
      </c>
      <c r="D15" s="319">
        <f>+'Tariff Tables'!Z14+'Tariff Tables'!Z23</f>
        <v>3.8000000000000002E-4</v>
      </c>
      <c r="E15" s="319">
        <f>+'Tariff Tables'!AA14+'Tariff Tables'!AA23</f>
        <v>0</v>
      </c>
      <c r="F15" s="233">
        <f t="shared" ref="F15:F18" si="1">SUM(B15:E15)</f>
        <v>1.49E-3</v>
      </c>
    </row>
    <row r="16" spans="1:6" ht="15" thickBot="1" x14ac:dyDescent="0.4">
      <c r="A16" s="90" t="s">
        <v>105</v>
      </c>
      <c r="B16" s="319">
        <f>+'Tariff Tables'!X15+'Tariff Tables'!X24</f>
        <v>1.8599999999999999E-3</v>
      </c>
      <c r="C16" s="319">
        <f>+'Tariff Tables'!Y15+'Tariff Tables'!Y24</f>
        <v>1.3599999999999999E-3</v>
      </c>
      <c r="D16" s="319">
        <f>+'Tariff Tables'!Z15+'Tariff Tables'!Z24</f>
        <v>4.4000000000000002E-4</v>
      </c>
      <c r="E16" s="319">
        <f>+'Tariff Tables'!AA15+'Tariff Tables'!AA24</f>
        <v>0</v>
      </c>
      <c r="F16" s="233">
        <f t="shared" si="1"/>
        <v>3.6599999999999996E-3</v>
      </c>
    </row>
    <row r="17" spans="1:7" ht="15" thickBot="1" x14ac:dyDescent="0.4">
      <c r="A17" s="90" t="s">
        <v>106</v>
      </c>
      <c r="B17" s="319">
        <f>+'Tariff Tables'!X16+'Tariff Tables'!X25</f>
        <v>6.4000000000000005E-4</v>
      </c>
      <c r="C17" s="319">
        <f>+'Tariff Tables'!Y16+'Tariff Tables'!Y25</f>
        <v>5.6999999999999998E-4</v>
      </c>
      <c r="D17" s="319">
        <f>+'Tariff Tables'!Z16+'Tariff Tables'!Z25</f>
        <v>4.6000000000000001E-4</v>
      </c>
      <c r="E17" s="319">
        <f>+'Tariff Tables'!AA16+'Tariff Tables'!AA25</f>
        <v>0</v>
      </c>
      <c r="F17" s="233">
        <f t="shared" si="1"/>
        <v>1.67E-3</v>
      </c>
    </row>
    <row r="18" spans="1:7" ht="15" thickBot="1" x14ac:dyDescent="0.4">
      <c r="A18" s="90" t="s">
        <v>107</v>
      </c>
      <c r="B18" s="319">
        <f>+'Tariff Tables'!X17+'Tariff Tables'!X26</f>
        <v>1.3500000000000001E-3</v>
      </c>
      <c r="C18" s="319">
        <f>+'Tariff Tables'!Y17+'Tariff Tables'!Y26</f>
        <v>1.2999999999999999E-4</v>
      </c>
      <c r="D18" s="319">
        <f>+'Tariff Tables'!Z17+'Tariff Tables'!Z26</f>
        <v>3.4000000000000002E-4</v>
      </c>
      <c r="E18" s="319">
        <f>+'Tariff Tables'!AA17+'Tariff Tables'!AA26</f>
        <v>0</v>
      </c>
      <c r="F18" s="233">
        <f t="shared" si="1"/>
        <v>1.82E-3</v>
      </c>
    </row>
    <row r="21" spans="1:7" s="46" customFormat="1" ht="15" thickBot="1" x14ac:dyDescent="0.4">
      <c r="A21" s="3" t="s">
        <v>247</v>
      </c>
    </row>
    <row r="22" spans="1:7" s="46" customFormat="1" ht="27.5" thickBot="1" x14ac:dyDescent="0.4">
      <c r="A22" s="87" t="s">
        <v>131</v>
      </c>
      <c r="B22" s="127" t="s">
        <v>130</v>
      </c>
      <c r="C22" s="127" t="s">
        <v>129</v>
      </c>
      <c r="D22" s="127" t="s">
        <v>128</v>
      </c>
      <c r="E22" s="127" t="s">
        <v>127</v>
      </c>
      <c r="F22" s="89" t="s">
        <v>153</v>
      </c>
    </row>
    <row r="23" spans="1:7" s="46" customFormat="1" ht="15" thickBot="1" x14ac:dyDescent="0.4">
      <c r="A23" s="90" t="s">
        <v>24</v>
      </c>
      <c r="B23" s="319">
        <f>+'Tariff Tables'!AC22+'Tariff Tables'!AC13</f>
        <v>1.0000000000000001E-5</v>
      </c>
      <c r="C23" s="319"/>
      <c r="D23" s="319"/>
      <c r="E23" s="319"/>
      <c r="F23" s="233">
        <f>SUM(B23:E23)</f>
        <v>1.0000000000000001E-5</v>
      </c>
    </row>
    <row r="24" spans="1:7" s="46" customFormat="1" ht="15" thickBot="1" x14ac:dyDescent="0.4">
      <c r="A24" s="90" t="s">
        <v>104</v>
      </c>
      <c r="B24" s="319">
        <f>+'Tariff Tables'!AC23+'Tariff Tables'!AC14</f>
        <v>0</v>
      </c>
      <c r="C24" s="319"/>
      <c r="D24" s="319"/>
      <c r="E24" s="319"/>
      <c r="F24" s="233">
        <f t="shared" ref="F24:F27" si="2">SUM(B24:E24)</f>
        <v>0</v>
      </c>
    </row>
    <row r="25" spans="1:7" s="46" customFormat="1" ht="15" thickBot="1" x14ac:dyDescent="0.4">
      <c r="A25" s="90" t="s">
        <v>105</v>
      </c>
      <c r="B25" s="319">
        <f>+'Tariff Tables'!AC24+'Tariff Tables'!AC15</f>
        <v>1.0000000000000001E-5</v>
      </c>
      <c r="C25" s="319"/>
      <c r="D25" s="319"/>
      <c r="E25" s="319"/>
      <c r="F25" s="233">
        <f t="shared" si="2"/>
        <v>1.0000000000000001E-5</v>
      </c>
    </row>
    <row r="26" spans="1:7" s="46" customFormat="1" ht="15" thickBot="1" x14ac:dyDescent="0.4">
      <c r="A26" s="90" t="s">
        <v>106</v>
      </c>
      <c r="B26" s="319">
        <f>+'Tariff Tables'!AC25+'Tariff Tables'!AC16</f>
        <v>1.0000000000000001E-5</v>
      </c>
      <c r="C26" s="319"/>
      <c r="D26" s="319"/>
      <c r="E26" s="319"/>
      <c r="F26" s="233">
        <f t="shared" si="2"/>
        <v>1.0000000000000001E-5</v>
      </c>
    </row>
    <row r="27" spans="1:7" s="46" customFormat="1" ht="15" thickBot="1" x14ac:dyDescent="0.4">
      <c r="A27" s="90" t="s">
        <v>107</v>
      </c>
      <c r="B27" s="319">
        <f>+'Tariff Tables'!AC26+'Tariff Tables'!AC17</f>
        <v>2.0000000000000002E-5</v>
      </c>
      <c r="C27" s="319"/>
      <c r="D27" s="319"/>
      <c r="E27" s="319"/>
      <c r="F27" s="233">
        <f t="shared" si="2"/>
        <v>2.0000000000000002E-5</v>
      </c>
    </row>
    <row r="28" spans="1:7" s="46" customFormat="1" x14ac:dyDescent="0.35"/>
    <row r="29" spans="1:7" s="46" customFormat="1" x14ac:dyDescent="0.35"/>
    <row r="30" spans="1:7" ht="15" thickBot="1" x14ac:dyDescent="0.4">
      <c r="A30" s="3" t="s">
        <v>126</v>
      </c>
      <c r="B30" s="46"/>
      <c r="C30" s="46"/>
      <c r="D30" s="46"/>
      <c r="E30" s="46"/>
      <c r="F30" s="46"/>
    </row>
    <row r="31" spans="1:7" ht="27.5" thickBot="1" x14ac:dyDescent="0.4">
      <c r="A31" s="87" t="s">
        <v>131</v>
      </c>
      <c r="B31" s="127" t="s">
        <v>130</v>
      </c>
      <c r="C31" s="127" t="s">
        <v>129</v>
      </c>
      <c r="D31" s="127" t="s">
        <v>128</v>
      </c>
      <c r="E31" s="127" t="s">
        <v>127</v>
      </c>
      <c r="F31" s="89" t="s">
        <v>153</v>
      </c>
    </row>
    <row r="32" spans="1:7" ht="15" thickBot="1" x14ac:dyDescent="0.4">
      <c r="A32" s="90" t="s">
        <v>24</v>
      </c>
      <c r="B32" s="320">
        <f>SUMIFS(B$3:B$29,$A$3:$A$29,$A32)</f>
        <v>1.7100000000000001E-3</v>
      </c>
      <c r="C32" s="235">
        <f t="shared" ref="C32:E36" si="3">SUMIFS(C$3:C$29,$A$3:$A$29,$A32)</f>
        <v>9.2000000000000003E-4</v>
      </c>
      <c r="D32" s="235">
        <f t="shared" si="3"/>
        <v>6.8999999999999997E-4</v>
      </c>
      <c r="E32" s="235">
        <f t="shared" si="3"/>
        <v>-3.0000000000000001E-5</v>
      </c>
      <c r="F32" s="233">
        <f>SUM(B32:E32)</f>
        <v>3.2900000000000004E-3</v>
      </c>
      <c r="G32" s="236">
        <f>+F32-'Tariff Tables'!H4</f>
        <v>0</v>
      </c>
    </row>
    <row r="33" spans="1:7" ht="15" thickBot="1" x14ac:dyDescent="0.4">
      <c r="A33" s="90" t="s">
        <v>104</v>
      </c>
      <c r="B33" s="234">
        <f t="shared" ref="B33:B36" si="4">SUMIFS(B$3:B$29,$A$3:$A$29,$A33)</f>
        <v>4.0000000000000007E-4</v>
      </c>
      <c r="C33" s="235">
        <f t="shared" si="3"/>
        <v>7.3999999999999999E-4</v>
      </c>
      <c r="D33" s="235">
        <f t="shared" si="3"/>
        <v>3.8000000000000002E-4</v>
      </c>
      <c r="E33" s="235">
        <f t="shared" si="3"/>
        <v>0</v>
      </c>
      <c r="F33" s="233">
        <f t="shared" ref="F33:F36" si="5">SUM(B33:E33)</f>
        <v>1.5200000000000001E-3</v>
      </c>
      <c r="G33" s="236">
        <f>+F33-'Tariff Tables'!H5</f>
        <v>0</v>
      </c>
    </row>
    <row r="34" spans="1:7" ht="15" thickBot="1" x14ac:dyDescent="0.4">
      <c r="A34" s="90" t="s">
        <v>105</v>
      </c>
      <c r="B34" s="234">
        <f t="shared" si="4"/>
        <v>1.8699999999999999E-3</v>
      </c>
      <c r="C34" s="235">
        <f t="shared" si="3"/>
        <v>1.4E-3</v>
      </c>
      <c r="D34" s="235">
        <f t="shared" si="3"/>
        <v>4.5000000000000004E-4</v>
      </c>
      <c r="E34" s="235">
        <f t="shared" si="3"/>
        <v>0</v>
      </c>
      <c r="F34" s="233">
        <f t="shared" si="5"/>
        <v>3.7199999999999998E-3</v>
      </c>
      <c r="G34" s="236">
        <f>+F34-'Tariff Tables'!H6</f>
        <v>0</v>
      </c>
    </row>
    <row r="35" spans="1:7" ht="15" thickBot="1" x14ac:dyDescent="0.4">
      <c r="A35" s="90" t="s">
        <v>106</v>
      </c>
      <c r="B35" s="234">
        <f t="shared" si="4"/>
        <v>6.5000000000000008E-4</v>
      </c>
      <c r="C35" s="235">
        <f t="shared" si="3"/>
        <v>6.0999999999999997E-4</v>
      </c>
      <c r="D35" s="235">
        <f t="shared" si="3"/>
        <v>4.7000000000000004E-4</v>
      </c>
      <c r="E35" s="235">
        <f t="shared" si="3"/>
        <v>0</v>
      </c>
      <c r="F35" s="233">
        <f t="shared" si="5"/>
        <v>1.7300000000000002E-3</v>
      </c>
      <c r="G35" s="236">
        <f>+F35-'Tariff Tables'!H7</f>
        <v>0</v>
      </c>
    </row>
    <row r="36" spans="1:7" ht="15" thickBot="1" x14ac:dyDescent="0.4">
      <c r="A36" s="90" t="s">
        <v>107</v>
      </c>
      <c r="B36" s="234">
        <f t="shared" si="4"/>
        <v>1.3700000000000001E-3</v>
      </c>
      <c r="C36" s="235">
        <f t="shared" si="3"/>
        <v>1.3999999999999999E-4</v>
      </c>
      <c r="D36" s="235">
        <f t="shared" si="3"/>
        <v>3.6000000000000002E-4</v>
      </c>
      <c r="E36" s="235">
        <f t="shared" si="3"/>
        <v>0</v>
      </c>
      <c r="F36" s="233">
        <f t="shared" si="5"/>
        <v>1.8700000000000001E-3</v>
      </c>
      <c r="G36" s="236">
        <f>+F36-'Tariff Tables'!H8</f>
        <v>0</v>
      </c>
    </row>
    <row r="38" spans="1:7" x14ac:dyDescent="0.35">
      <c r="B38" s="236">
        <f>+B32-'Tariff Tables'!J4</f>
        <v>0</v>
      </c>
      <c r="C38" s="236">
        <f>+C32-'Tariff Tables'!K4</f>
        <v>0</v>
      </c>
      <c r="D38" s="236">
        <f>+D32-'Tariff Tables'!L4</f>
        <v>0</v>
      </c>
      <c r="E38" s="236">
        <f>+E32-'Tariff Tables'!M4</f>
        <v>0</v>
      </c>
      <c r="F38" s="236"/>
    </row>
    <row r="39" spans="1:7" x14ac:dyDescent="0.35">
      <c r="B39" s="236">
        <f>+B33-'Tariff Tables'!J5</f>
        <v>0</v>
      </c>
      <c r="C39" s="236">
        <f>+C33-'Tariff Tables'!K5</f>
        <v>0</v>
      </c>
      <c r="D39" s="236">
        <f>+D33-'Tariff Tables'!L5</f>
        <v>0</v>
      </c>
      <c r="E39" s="236">
        <f>+E33-'Tariff Tables'!M5</f>
        <v>0</v>
      </c>
      <c r="F39" s="236"/>
    </row>
    <row r="40" spans="1:7" x14ac:dyDescent="0.35">
      <c r="B40" s="236">
        <f>+B34-'Tariff Tables'!J6</f>
        <v>0</v>
      </c>
      <c r="C40" s="236">
        <f>+C34-'Tariff Tables'!K6</f>
        <v>0</v>
      </c>
      <c r="D40" s="236">
        <f>+D34-'Tariff Tables'!L6</f>
        <v>0</v>
      </c>
      <c r="E40" s="236">
        <f>+E34-'Tariff Tables'!M6</f>
        <v>0</v>
      </c>
      <c r="F40" s="236"/>
    </row>
    <row r="41" spans="1:7" x14ac:dyDescent="0.35">
      <c r="B41" s="236">
        <f>+B35-'Tariff Tables'!J7</f>
        <v>0</v>
      </c>
      <c r="C41" s="236">
        <f>+C35-'Tariff Tables'!K7</f>
        <v>0</v>
      </c>
      <c r="D41" s="236">
        <f>+D35-'Tariff Tables'!L7</f>
        <v>0</v>
      </c>
      <c r="E41" s="236">
        <f>+E35-'Tariff Tables'!M7</f>
        <v>0</v>
      </c>
      <c r="F41" s="236"/>
    </row>
    <row r="42" spans="1:7" x14ac:dyDescent="0.35">
      <c r="B42" s="236">
        <f>+B36-'Tariff Tables'!J8</f>
        <v>0</v>
      </c>
      <c r="C42" s="236">
        <f>+C36-'Tariff Tables'!K8</f>
        <v>0</v>
      </c>
      <c r="D42" s="236">
        <f>+D36-'Tariff Tables'!L8</f>
        <v>0</v>
      </c>
      <c r="E42" s="236">
        <f>+E36-'Tariff Tables'!M8</f>
        <v>0</v>
      </c>
      <c r="F42" s="236"/>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A17" sqref="A17"/>
    </sheetView>
  </sheetViews>
  <sheetFormatPr defaultColWidth="9.1796875" defaultRowHeight="14.5" x14ac:dyDescent="0.35"/>
  <cols>
    <col min="1" max="1" width="20.81640625" style="46" customWidth="1"/>
    <col min="2" max="2" width="22" style="46" customWidth="1"/>
    <col min="3" max="3" width="17.26953125" style="46" customWidth="1"/>
    <col min="4" max="4" width="14.81640625" style="46" customWidth="1"/>
    <col min="5" max="6" width="16.1796875" style="46" customWidth="1"/>
    <col min="7" max="7" width="10.7265625" style="46" bestFit="1" customWidth="1"/>
    <col min="8" max="9" width="9.1796875" style="46"/>
    <col min="10" max="10" width="15" style="46" bestFit="1" customWidth="1"/>
    <col min="11" max="16384" width="9.1796875" style="46"/>
  </cols>
  <sheetData>
    <row r="1" spans="1:25" x14ac:dyDescent="0.35">
      <c r="A1" s="63" t="s">
        <v>280</v>
      </c>
    </row>
    <row r="2" spans="1:25" x14ac:dyDescent="0.35">
      <c r="A2" s="336" t="s">
        <v>238</v>
      </c>
    </row>
    <row r="3" spans="1:25" ht="35.25" customHeight="1" x14ac:dyDescent="0.35">
      <c r="B3" s="344" t="s">
        <v>110</v>
      </c>
      <c r="C3" s="344"/>
    </row>
    <row r="4" spans="1:25" ht="43.5" x14ac:dyDescent="0.35">
      <c r="B4" s="70" t="s">
        <v>43</v>
      </c>
      <c r="C4" s="230" t="s">
        <v>26</v>
      </c>
      <c r="D4" s="335" t="s">
        <v>302</v>
      </c>
    </row>
    <row r="5" spans="1:25" x14ac:dyDescent="0.35">
      <c r="A5" s="20" t="s">
        <v>24</v>
      </c>
      <c r="B5" s="75">
        <f>SUM('[1]KCPL Billed kWh Sales'!$G37:$H37)</f>
        <v>2745123102</v>
      </c>
      <c r="C5" s="228">
        <f>SUM(D5:E5)</f>
        <v>3949561.72</v>
      </c>
      <c r="D5" s="228">
        <f>+ROUND(SUM('[2]Monthly Program Costs Ext'!$BJ301:$BU301),2)</f>
        <v>3949561.72</v>
      </c>
      <c r="J5" s="341"/>
    </row>
    <row r="6" spans="1:25" x14ac:dyDescent="0.35">
      <c r="A6" s="20" t="s">
        <v>104</v>
      </c>
      <c r="B6" s="75">
        <f>SUM('[1]KCPL Billed kWh Sales'!$G38:$H38)</f>
        <v>651670035</v>
      </c>
      <c r="C6" s="228">
        <f>SUM(D6:E6)</f>
        <v>444250.8</v>
      </c>
      <c r="D6" s="228">
        <f>+ROUND(SUM('[2]Monthly Program Costs Ext'!$BJ302:$BU302),2)</f>
        <v>444250.8</v>
      </c>
      <c r="F6" s="47"/>
      <c r="J6" s="341"/>
    </row>
    <row r="7" spans="1:25" x14ac:dyDescent="0.35">
      <c r="A7" s="20" t="s">
        <v>105</v>
      </c>
      <c r="B7" s="75">
        <f>SUM('[1]KCPL Billed kWh Sales'!$G39:$H39)</f>
        <v>1154044380</v>
      </c>
      <c r="C7" s="228">
        <f>SUM(D7:E7)</f>
        <v>932450.3</v>
      </c>
      <c r="D7" s="228">
        <f>+ROUND(SUM('[2]Monthly Program Costs Ext'!$BJ303:$BU303),2)</f>
        <v>932450.3</v>
      </c>
      <c r="F7" s="47"/>
      <c r="J7" s="341"/>
    </row>
    <row r="8" spans="1:25" x14ac:dyDescent="0.35">
      <c r="A8" s="20" t="s">
        <v>106</v>
      </c>
      <c r="B8" s="75">
        <f>SUM('[1]KCPL Billed kWh Sales'!$G40:$H40)</f>
        <v>1870755627</v>
      </c>
      <c r="C8" s="228">
        <f>SUM(D8:E8)</f>
        <v>1500372.97</v>
      </c>
      <c r="D8" s="228">
        <f>+ROUND(SUM('[2]Monthly Program Costs Ext'!$BJ304:$BU304),2)</f>
        <v>1500372.97</v>
      </c>
      <c r="F8" s="47"/>
      <c r="J8" s="341"/>
    </row>
    <row r="9" spans="1:25" x14ac:dyDescent="0.35">
      <c r="A9" s="20" t="s">
        <v>107</v>
      </c>
      <c r="B9" s="75">
        <f>SUM('[1]KCPL Billed kWh Sales'!$G41:$H41)</f>
        <v>525810978</v>
      </c>
      <c r="C9" s="228">
        <f>SUM(D9:E9)</f>
        <v>667102.74</v>
      </c>
      <c r="D9" s="228">
        <f>+ROUND(SUM('[2]Monthly Program Costs Ext'!$BJ305:$BU305),2)</f>
        <v>667102.74</v>
      </c>
      <c r="F9" s="47"/>
      <c r="J9" s="341"/>
      <c r="P9" s="1"/>
      <c r="Q9" s="1"/>
      <c r="R9" s="1"/>
      <c r="S9" s="1"/>
      <c r="T9" s="1"/>
      <c r="U9" s="1"/>
      <c r="V9" s="1"/>
      <c r="W9" s="1"/>
      <c r="X9" s="1"/>
      <c r="Y9" s="1"/>
    </row>
    <row r="10" spans="1:25" x14ac:dyDescent="0.35">
      <c r="A10" s="30" t="s">
        <v>109</v>
      </c>
      <c r="B10" s="245">
        <f>SUM(B5:B9)</f>
        <v>6947404122</v>
      </c>
      <c r="C10" s="229">
        <f>SUM(C5:C9)</f>
        <v>7493738.5300000003</v>
      </c>
      <c r="D10" s="229">
        <f>SUM(D5:D9)</f>
        <v>7493738.5300000003</v>
      </c>
      <c r="J10" s="341"/>
      <c r="P10" s="1"/>
      <c r="Q10" s="1"/>
      <c r="R10" s="1"/>
      <c r="S10" s="1"/>
      <c r="T10" s="1"/>
      <c r="U10" s="1"/>
      <c r="V10" s="1"/>
      <c r="W10" s="1"/>
      <c r="X10" s="1"/>
      <c r="Y10" s="1"/>
    </row>
    <row r="12" spans="1:25" x14ac:dyDescent="0.35">
      <c r="A12" s="53" t="s">
        <v>11</v>
      </c>
    </row>
    <row r="13" spans="1:25" ht="49.5" customHeight="1" x14ac:dyDescent="0.35">
      <c r="A13" s="343" t="s">
        <v>282</v>
      </c>
      <c r="B13" s="343"/>
      <c r="C13" s="343"/>
      <c r="D13" s="343"/>
      <c r="E13" s="343"/>
      <c r="F13" s="329"/>
      <c r="G13" s="280"/>
      <c r="H13" s="345"/>
      <c r="I13" s="345"/>
      <c r="J13" s="345"/>
    </row>
    <row r="14" spans="1:25" x14ac:dyDescent="0.35">
      <c r="A14" s="343" t="s">
        <v>308</v>
      </c>
      <c r="B14" s="343"/>
      <c r="C14" s="343"/>
      <c r="D14" s="343"/>
      <c r="E14" s="343"/>
      <c r="F14" s="329"/>
    </row>
    <row r="15" spans="1:25" ht="30" customHeight="1" x14ac:dyDescent="0.35">
      <c r="A15" s="343" t="s">
        <v>301</v>
      </c>
      <c r="B15" s="343"/>
      <c r="C15" s="343"/>
      <c r="D15" s="343"/>
      <c r="E15" s="343"/>
      <c r="F15" s="329"/>
    </row>
    <row r="16" spans="1:25" ht="27" customHeight="1" x14ac:dyDescent="0.35"/>
    <row r="23" spans="3:3" x14ac:dyDescent="0.35">
      <c r="C23" s="2"/>
    </row>
    <row r="45" spans="2:3" x14ac:dyDescent="0.35">
      <c r="B45" s="8"/>
      <c r="C45" s="8"/>
    </row>
    <row r="49" spans="2:3" x14ac:dyDescent="0.35">
      <c r="B49" s="8"/>
      <c r="C49" s="8"/>
    </row>
  </sheetData>
  <mergeCells count="5">
    <mergeCell ref="A15:E15"/>
    <mergeCell ref="B3:C3"/>
    <mergeCell ref="H13:J13"/>
    <mergeCell ref="A14:E14"/>
    <mergeCell ref="A13:E1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A5" zoomScale="85" zoomScaleNormal="85" workbookViewId="0">
      <selection activeCell="K27" sqref="K27"/>
    </sheetView>
  </sheetViews>
  <sheetFormatPr defaultColWidth="9.1796875" defaultRowHeight="14.5" outlineLevelCol="1" x14ac:dyDescent="0.35"/>
  <cols>
    <col min="1" max="1" width="54.54296875" style="46" customWidth="1"/>
    <col min="2" max="2" width="15.453125" style="46" customWidth="1"/>
    <col min="3" max="3" width="15.8164062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outlineLevel="1"/>
    <col min="17" max="17" width="17.26953125" style="46" bestFit="1" customWidth="1"/>
    <col min="18" max="18" width="17.453125" style="46" customWidth="1"/>
    <col min="19" max="19" width="15.54296875" style="46" customWidth="1"/>
    <col min="20" max="20" width="13" style="46" customWidth="1"/>
    <col min="21" max="21" width="10.81640625" style="46" bestFit="1" customWidth="1"/>
    <col min="22" max="22" width="14.26953125" style="46" bestFit="1" customWidth="1"/>
    <col min="23" max="16384" width="9.1796875" style="46"/>
  </cols>
  <sheetData>
    <row r="1" spans="1:35" x14ac:dyDescent="0.35">
      <c r="A1" s="3" t="str">
        <f>+'PPC Cycle 3'!A1</f>
        <v>Evergy Metro, Inc. - DSIM Rider Update Filed 06/01/2024</v>
      </c>
      <c r="B1" s="3"/>
      <c r="C1" s="3"/>
      <c r="D1" s="3"/>
    </row>
    <row r="2" spans="1:35" x14ac:dyDescent="0.35">
      <c r="E2" s="3" t="s">
        <v>59</v>
      </c>
    </row>
    <row r="3" spans="1:35" ht="29" x14ac:dyDescent="0.35">
      <c r="E3" s="48" t="s">
        <v>45</v>
      </c>
      <c r="F3" s="48" t="s">
        <v>44</v>
      </c>
      <c r="G3" s="70" t="s">
        <v>2</v>
      </c>
      <c r="H3" s="48" t="s">
        <v>3</v>
      </c>
      <c r="I3" s="70" t="s">
        <v>54</v>
      </c>
      <c r="J3" s="48" t="s">
        <v>10</v>
      </c>
      <c r="K3" s="48" t="s">
        <v>4</v>
      </c>
    </row>
    <row r="4" spans="1:35" x14ac:dyDescent="0.35">
      <c r="A4" s="20" t="s">
        <v>24</v>
      </c>
      <c r="E4" s="22">
        <f>SUM(C34:M34)</f>
        <v>0</v>
      </c>
      <c r="F4" s="134">
        <f>SUM(C27:M27)</f>
        <v>1171777175.7290375</v>
      </c>
      <c r="G4" s="22">
        <f>SUM(C23:L23)</f>
        <v>0</v>
      </c>
      <c r="H4" s="22">
        <f>G4-E4</f>
        <v>0</v>
      </c>
      <c r="I4" s="22">
        <f>+B47</f>
        <v>-2.3305801732931286E-12</v>
      </c>
      <c r="J4" s="22">
        <f>SUM(C52:L52)</f>
        <v>0</v>
      </c>
      <c r="K4" s="25">
        <f>SUM(H4:J4)</f>
        <v>-2.3305801732931286E-12</v>
      </c>
      <c r="L4" s="47">
        <f>+K4-M47</f>
        <v>0</v>
      </c>
    </row>
    <row r="5" spans="1:35" ht="15" thickBot="1" x14ac:dyDescent="0.4">
      <c r="A5" s="20" t="s">
        <v>25</v>
      </c>
      <c r="E5" s="22">
        <f>SUM(C35:M38)</f>
        <v>-13133.09</v>
      </c>
      <c r="F5" s="134">
        <f>SUM(C28:M31)</f>
        <v>1965927756.9535999</v>
      </c>
      <c r="G5" s="22">
        <f>SUM(C24:L24)</f>
        <v>0</v>
      </c>
      <c r="H5" s="22">
        <f>G5-E5</f>
        <v>13133.09</v>
      </c>
      <c r="I5" s="22">
        <f>+B48</f>
        <v>-13047.110000000026</v>
      </c>
      <c r="J5" s="22">
        <f>SUM(C53:L53)</f>
        <v>-86.070000000000007</v>
      </c>
      <c r="K5" s="25">
        <f>SUM(H5:J5)</f>
        <v>-9.0000000025909799E-2</v>
      </c>
      <c r="L5" s="47">
        <f>+K5-M48</f>
        <v>-1.4938050796331481E-12</v>
      </c>
    </row>
    <row r="6" spans="1:35" ht="15.5" thickTop="1" thickBot="1" x14ac:dyDescent="0.4">
      <c r="E6" s="27">
        <f t="shared" ref="E6" si="0">SUM(E4:E5)</f>
        <v>-13133.09</v>
      </c>
      <c r="F6" s="27">
        <f t="shared" ref="F6:I6" si="1">SUM(F4:F5)</f>
        <v>3137704932.6826372</v>
      </c>
      <c r="G6" s="27">
        <f t="shared" si="1"/>
        <v>0</v>
      </c>
      <c r="H6" s="27">
        <f t="shared" si="1"/>
        <v>13133.09</v>
      </c>
      <c r="I6" s="27">
        <f t="shared" si="1"/>
        <v>-13047.110000000028</v>
      </c>
      <c r="J6" s="27">
        <f>SUM(J4:J5)</f>
        <v>-86.070000000000007</v>
      </c>
      <c r="K6" s="27">
        <f>SUM(K4:K5)</f>
        <v>-9.0000000028240379E-2</v>
      </c>
    </row>
    <row r="7" spans="1:35" ht="44" thickTop="1" x14ac:dyDescent="0.35">
      <c r="E7" s="226"/>
      <c r="F7" s="227"/>
      <c r="G7" s="226"/>
      <c r="H7" s="226"/>
      <c r="I7" s="226"/>
      <c r="J7" s="225"/>
      <c r="K7" s="225"/>
      <c r="L7" s="224" t="s">
        <v>120</v>
      </c>
    </row>
    <row r="8" spans="1:35" x14ac:dyDescent="0.35">
      <c r="A8" s="20" t="s">
        <v>104</v>
      </c>
      <c r="E8" s="226"/>
      <c r="F8" s="227"/>
      <c r="G8" s="226"/>
      <c r="H8" s="226"/>
      <c r="I8" s="226"/>
      <c r="J8" s="225"/>
      <c r="K8" s="25">
        <f>ROUND($K$5*L8,2)</f>
        <v>-0.01</v>
      </c>
      <c r="L8" s="222">
        <f>+'[3]Monthly TD Calc'!$DC$44</f>
        <v>0.13576441564001979</v>
      </c>
    </row>
    <row r="9" spans="1:35" x14ac:dyDescent="0.35">
      <c r="A9" s="20" t="s">
        <v>105</v>
      </c>
      <c r="E9" s="226"/>
      <c r="F9" s="227"/>
      <c r="G9" s="226"/>
      <c r="H9" s="226"/>
      <c r="I9" s="226"/>
      <c r="J9" s="225"/>
      <c r="K9" s="25">
        <f t="shared" ref="K9:K11" si="2">ROUND($K$5*L9,2)</f>
        <v>-0.03</v>
      </c>
      <c r="L9" s="222">
        <f>+'[3]Monthly TD Calc'!$DD$44</f>
        <v>0.35611574316442379</v>
      </c>
    </row>
    <row r="10" spans="1:35" x14ac:dyDescent="0.35">
      <c r="A10" s="20" t="s">
        <v>106</v>
      </c>
      <c r="E10" s="226"/>
      <c r="F10" s="227"/>
      <c r="G10" s="226"/>
      <c r="H10" s="226"/>
      <c r="I10" s="226"/>
      <c r="J10" s="225"/>
      <c r="K10" s="25">
        <f t="shared" si="2"/>
        <v>-0.04</v>
      </c>
      <c r="L10" s="222">
        <f>+'[3]Monthly TD Calc'!$DE$44</f>
        <v>0.4183185730547726</v>
      </c>
    </row>
    <row r="11" spans="1:35" ht="15" thickBot="1" x14ac:dyDescent="0.4">
      <c r="A11" s="20" t="s">
        <v>107</v>
      </c>
      <c r="E11" s="226"/>
      <c r="F11" s="227"/>
      <c r="G11" s="226"/>
      <c r="H11" s="226"/>
      <c r="I11" s="226"/>
      <c r="J11" s="225"/>
      <c r="K11" s="25">
        <f t="shared" si="2"/>
        <v>-0.01</v>
      </c>
      <c r="L11" s="222">
        <f>+'[3]Monthly TD Calc'!$DF$44</f>
        <v>8.9801268140783777E-2</v>
      </c>
    </row>
    <row r="12" spans="1:35" ht="15.5" thickTop="1" thickBot="1" x14ac:dyDescent="0.4">
      <c r="A12" s="20" t="s">
        <v>109</v>
      </c>
      <c r="E12" s="226"/>
      <c r="F12" s="227"/>
      <c r="G12" s="226"/>
      <c r="H12" s="226"/>
      <c r="I12" s="226"/>
      <c r="J12" s="225"/>
      <c r="K12" s="27">
        <f>SUM(K8:K11)</f>
        <v>-0.09</v>
      </c>
      <c r="L12" s="223">
        <f>SUM(L8:L11)</f>
        <v>1</v>
      </c>
    </row>
    <row r="13" spans="1:35" ht="15.5" thickTop="1" thickBot="1" x14ac:dyDescent="0.4"/>
    <row r="14" spans="1:35" ht="73" thickBot="1" x14ac:dyDescent="0.4">
      <c r="B14" s="115" t="s">
        <v>239</v>
      </c>
      <c r="C14" s="267" t="s">
        <v>241</v>
      </c>
      <c r="D14" s="267"/>
      <c r="E14" s="351" t="s">
        <v>32</v>
      </c>
      <c r="F14" s="351"/>
      <c r="G14" s="352"/>
      <c r="H14" s="353" t="s">
        <v>32</v>
      </c>
      <c r="I14" s="354"/>
      <c r="J14" s="355"/>
      <c r="K14" s="347" t="s">
        <v>8</v>
      </c>
      <c r="L14" s="348"/>
      <c r="M14" s="349"/>
      <c r="P14" s="290" t="s">
        <v>237</v>
      </c>
    </row>
    <row r="15" spans="1:35" x14ac:dyDescent="0.35">
      <c r="A15" s="46" t="s">
        <v>31</v>
      </c>
      <c r="C15" s="14"/>
      <c r="D15" s="19"/>
      <c r="E15" s="321">
        <v>45260</v>
      </c>
      <c r="F15" s="19">
        <f>EOMONTH(E15,1)</f>
        <v>45291</v>
      </c>
      <c r="G15" s="19">
        <f t="shared" ref="G15:M15" si="3">EOMONTH(F15,1)</f>
        <v>45322</v>
      </c>
      <c r="H15" s="14">
        <f t="shared" si="3"/>
        <v>45351</v>
      </c>
      <c r="I15" s="19">
        <f t="shared" si="3"/>
        <v>45382</v>
      </c>
      <c r="J15" s="15">
        <f t="shared" si="3"/>
        <v>45412</v>
      </c>
      <c r="K15" s="19">
        <f t="shared" si="3"/>
        <v>45443</v>
      </c>
      <c r="L15" s="19">
        <f t="shared" si="3"/>
        <v>45473</v>
      </c>
      <c r="M15" s="95">
        <f t="shared" si="3"/>
        <v>45504</v>
      </c>
      <c r="P15" s="290"/>
      <c r="Z15" s="1"/>
      <c r="AA15" s="1"/>
      <c r="AB15" s="1"/>
      <c r="AC15" s="1"/>
      <c r="AD15" s="1"/>
      <c r="AE15" s="1"/>
      <c r="AF15" s="1"/>
      <c r="AG15" s="1"/>
      <c r="AH15" s="1"/>
      <c r="AI15" s="1"/>
    </row>
    <row r="16" spans="1:35" x14ac:dyDescent="0.35">
      <c r="A16" s="46" t="s">
        <v>24</v>
      </c>
      <c r="C16" s="97">
        <v>0</v>
      </c>
      <c r="D16" s="256"/>
      <c r="E16" s="109">
        <v>0</v>
      </c>
      <c r="F16" s="109">
        <v>0</v>
      </c>
      <c r="G16" s="110">
        <v>0</v>
      </c>
      <c r="H16" s="16">
        <v>0</v>
      </c>
      <c r="I16" s="55">
        <v>0</v>
      </c>
      <c r="J16" s="162">
        <v>0</v>
      </c>
      <c r="K16" s="172">
        <v>0</v>
      </c>
      <c r="L16" s="136">
        <v>0</v>
      </c>
      <c r="M16" s="76"/>
      <c r="P16" s="47">
        <f>-SUM(K16:M16)</f>
        <v>0</v>
      </c>
    </row>
    <row r="17" spans="1:21" x14ac:dyDescent="0.35">
      <c r="A17" s="46" t="s">
        <v>25</v>
      </c>
      <c r="C17" s="97">
        <v>0</v>
      </c>
      <c r="D17" s="256"/>
      <c r="E17" s="109">
        <v>0</v>
      </c>
      <c r="F17" s="109">
        <v>0</v>
      </c>
      <c r="G17" s="110">
        <v>0</v>
      </c>
      <c r="H17" s="16">
        <v>0</v>
      </c>
      <c r="I17" s="55">
        <v>0</v>
      </c>
      <c r="J17" s="162">
        <v>0</v>
      </c>
      <c r="K17" s="172">
        <v>0</v>
      </c>
      <c r="L17" s="136">
        <v>0</v>
      </c>
      <c r="M17" s="76"/>
      <c r="N17" s="63" t="s">
        <v>27</v>
      </c>
      <c r="P17" s="47">
        <f t="shared" ref="P17:P19" si="4">-SUM(K17:M17)</f>
        <v>0</v>
      </c>
    </row>
    <row r="18" spans="1:21" x14ac:dyDescent="0.35">
      <c r="A18" s="46" t="s">
        <v>0</v>
      </c>
      <c r="C18" s="97">
        <v>0</v>
      </c>
      <c r="D18" s="256"/>
      <c r="E18" s="109">
        <v>0</v>
      </c>
      <c r="F18" s="109">
        <v>0</v>
      </c>
      <c r="G18" s="110">
        <v>0</v>
      </c>
      <c r="H18" s="16">
        <v>0</v>
      </c>
      <c r="I18" s="55">
        <v>0</v>
      </c>
      <c r="J18" s="162">
        <v>0</v>
      </c>
      <c r="K18" s="172">
        <v>0</v>
      </c>
      <c r="L18" s="136">
        <v>0</v>
      </c>
      <c r="M18" s="76"/>
      <c r="N18" s="73">
        <v>0.5</v>
      </c>
      <c r="P18" s="47">
        <f t="shared" si="4"/>
        <v>0</v>
      </c>
    </row>
    <row r="19" spans="1:21" x14ac:dyDescent="0.35">
      <c r="A19" s="46" t="s">
        <v>1</v>
      </c>
      <c r="C19" s="97">
        <v>0</v>
      </c>
      <c r="D19" s="256"/>
      <c r="E19" s="109">
        <v>0</v>
      </c>
      <c r="F19" s="109">
        <v>0</v>
      </c>
      <c r="G19" s="110">
        <v>0</v>
      </c>
      <c r="H19" s="16">
        <v>0</v>
      </c>
      <c r="I19" s="55">
        <v>0</v>
      </c>
      <c r="J19" s="162">
        <v>0</v>
      </c>
      <c r="K19" s="172">
        <v>0</v>
      </c>
      <c r="L19" s="136">
        <v>0</v>
      </c>
      <c r="M19" s="76"/>
      <c r="N19" s="63"/>
      <c r="P19" s="47">
        <f t="shared" si="4"/>
        <v>0</v>
      </c>
    </row>
    <row r="20" spans="1:21" x14ac:dyDescent="0.35">
      <c r="C20" s="98"/>
      <c r="D20" s="257"/>
      <c r="E20" s="31"/>
      <c r="F20" s="31"/>
      <c r="G20" s="31"/>
      <c r="H20" s="28"/>
      <c r="I20" s="31"/>
      <c r="J20" s="11"/>
      <c r="K20" s="31"/>
      <c r="L20" s="31"/>
      <c r="M20" s="29"/>
    </row>
    <row r="21" spans="1:21" x14ac:dyDescent="0.35">
      <c r="C21" s="98"/>
      <c r="D21" s="257"/>
      <c r="E21" s="31"/>
      <c r="F21" s="31"/>
      <c r="G21" s="31"/>
      <c r="H21" s="28"/>
      <c r="I21" s="31"/>
      <c r="J21" s="11"/>
      <c r="K21" s="31"/>
      <c r="L21" s="31"/>
      <c r="M21" s="29"/>
    </row>
    <row r="22" spans="1:21" x14ac:dyDescent="0.35">
      <c r="A22" s="46" t="s">
        <v>34</v>
      </c>
      <c r="C22" s="99"/>
      <c r="D22" s="147"/>
      <c r="E22" s="31"/>
      <c r="F22" s="31"/>
      <c r="G22" s="31"/>
      <c r="H22" s="28"/>
      <c r="I22" s="31"/>
      <c r="J22" s="163"/>
      <c r="K22" s="17"/>
      <c r="L22" s="17"/>
      <c r="M22" s="11"/>
    </row>
    <row r="23" spans="1:21" x14ac:dyDescent="0.35">
      <c r="A23" s="46" t="s">
        <v>24</v>
      </c>
      <c r="C23" s="40"/>
      <c r="D23" s="120"/>
      <c r="E23" s="41">
        <f t="shared" ref="E23:L23" si="5">E16+($N$18*E$18)+($N$18*E$19)</f>
        <v>0</v>
      </c>
      <c r="F23" s="41">
        <f t="shared" si="5"/>
        <v>0</v>
      </c>
      <c r="G23" s="108">
        <f t="shared" si="5"/>
        <v>0</v>
      </c>
      <c r="H23" s="40">
        <f t="shared" si="5"/>
        <v>0</v>
      </c>
      <c r="I23" s="41">
        <f t="shared" si="5"/>
        <v>0</v>
      </c>
      <c r="J23" s="61">
        <f t="shared" si="5"/>
        <v>0</v>
      </c>
      <c r="K23" s="120">
        <f t="shared" si="5"/>
        <v>0</v>
      </c>
      <c r="L23" s="41">
        <f t="shared" si="5"/>
        <v>0</v>
      </c>
      <c r="M23" s="61">
        <f t="shared" ref="M23" si="6">M16+($N$18*M$18)+($N$18*M$19)+M$20*(1-$N$20)</f>
        <v>0</v>
      </c>
    </row>
    <row r="24" spans="1:21" x14ac:dyDescent="0.35">
      <c r="A24" s="46" t="s">
        <v>25</v>
      </c>
      <c r="C24" s="40"/>
      <c r="D24" s="120"/>
      <c r="E24" s="41">
        <f t="shared" ref="E24:L24" si="7">(E$17+$N$18*E$18)+E$19*$N$18</f>
        <v>0</v>
      </c>
      <c r="F24" s="41">
        <f t="shared" si="7"/>
        <v>0</v>
      </c>
      <c r="G24" s="108">
        <f t="shared" si="7"/>
        <v>0</v>
      </c>
      <c r="H24" s="40">
        <f t="shared" si="7"/>
        <v>0</v>
      </c>
      <c r="I24" s="41">
        <f t="shared" si="7"/>
        <v>0</v>
      </c>
      <c r="J24" s="61">
        <f t="shared" si="7"/>
        <v>0</v>
      </c>
      <c r="K24" s="120">
        <f t="shared" si="7"/>
        <v>0</v>
      </c>
      <c r="L24" s="41">
        <f t="shared" si="7"/>
        <v>0</v>
      </c>
      <c r="M24" s="61">
        <f t="shared" ref="M24" si="8">(M$17+$N$18*M$18+M$20*$N$20)+M$19*$N$18</f>
        <v>0</v>
      </c>
    </row>
    <row r="25" spans="1:21" x14ac:dyDescent="0.35">
      <c r="C25" s="99"/>
      <c r="D25" s="147"/>
      <c r="E25" s="31"/>
      <c r="F25" s="31"/>
      <c r="G25" s="31"/>
      <c r="H25" s="28"/>
      <c r="I25" s="31"/>
      <c r="J25" s="11"/>
      <c r="K25" s="17"/>
      <c r="L25" s="17"/>
      <c r="M25" s="11"/>
    </row>
    <row r="26" spans="1:21" x14ac:dyDescent="0.35">
      <c r="A26" s="39" t="s">
        <v>46</v>
      </c>
      <c r="B26" s="39"/>
      <c r="C26" s="101"/>
      <c r="D26" s="258"/>
      <c r="E26" s="31"/>
      <c r="F26" s="31"/>
      <c r="G26" s="31"/>
      <c r="H26" s="28"/>
      <c r="I26" s="31"/>
      <c r="J26" s="11"/>
      <c r="K26" s="17"/>
      <c r="L26" s="17"/>
      <c r="M26" s="11"/>
    </row>
    <row r="27" spans="1:21" x14ac:dyDescent="0.35">
      <c r="A27" s="46" t="s">
        <v>24</v>
      </c>
      <c r="C27" s="102">
        <v>-676072216</v>
      </c>
      <c r="D27" s="259"/>
      <c r="E27" s="111">
        <f>+'[4]November 2023'!$G145</f>
        <v>155241168.3564125</v>
      </c>
      <c r="F27" s="111">
        <f>+'[4]December 2023'!$G145</f>
        <v>202050419.06756249</v>
      </c>
      <c r="G27" s="111">
        <f>+'[4]January 2024'!$G145</f>
        <v>257167515.23965001</v>
      </c>
      <c r="H27" s="182">
        <f>+'[4]February 2024'!$G145</f>
        <v>247652473.08416262</v>
      </c>
      <c r="I27" s="185">
        <f>+'[4]March 2024'!$G145</f>
        <v>171250990.72272497</v>
      </c>
      <c r="J27" s="177">
        <f>+'[4]April 2024'!$G145</f>
        <v>157128474.25852495</v>
      </c>
      <c r="K27" s="173">
        <f>'[1]KCPL Billed kWh Sales'!R25</f>
        <v>157146285</v>
      </c>
      <c r="L27" s="173">
        <f>'[1]KCPL Billed kWh Sales'!S25</f>
        <v>202628383</v>
      </c>
      <c r="M27" s="77">
        <f>'[1]KCPL Billed kWh Sales'!T25</f>
        <v>297583683</v>
      </c>
      <c r="P27" s="47">
        <f t="shared" ref="P27:P31" si="9">-SUM(K27:M27)</f>
        <v>-657358351</v>
      </c>
      <c r="U27" s="340"/>
    </row>
    <row r="28" spans="1:21" x14ac:dyDescent="0.35">
      <c r="A28" s="46" t="s">
        <v>104</v>
      </c>
      <c r="C28" s="102">
        <v>-148201378</v>
      </c>
      <c r="D28" s="259"/>
      <c r="E28" s="111">
        <f>+'[4]November 2023'!$G146</f>
        <v>44567265.7064</v>
      </c>
      <c r="F28" s="111">
        <f>+'[4]December 2023'!$G146</f>
        <v>51788123.92180001</v>
      </c>
      <c r="G28" s="111">
        <f>+'[4]January 2024'!$G146</f>
        <v>60441166.459300019</v>
      </c>
      <c r="H28" s="182">
        <f>+'[4]February 2024'!$G146</f>
        <v>57527078.69380001</v>
      </c>
      <c r="I28" s="185">
        <f>+'[4]March 2024'!$G146</f>
        <v>47802395.452800006</v>
      </c>
      <c r="J28" s="177">
        <f>+'[4]April 2024'!$G146</f>
        <v>45212580.2443</v>
      </c>
      <c r="K28" s="173">
        <f>'[1]KCPL Billed kWh Sales'!R26</f>
        <v>48764650</v>
      </c>
      <c r="L28" s="173">
        <f>'[1]KCPL Billed kWh Sales'!S26</f>
        <v>53736307</v>
      </c>
      <c r="M28" s="77">
        <f>'[1]KCPL Billed kWh Sales'!T26</f>
        <v>60286284</v>
      </c>
      <c r="P28" s="47">
        <f t="shared" si="9"/>
        <v>-162787241</v>
      </c>
    </row>
    <row r="29" spans="1:21" x14ac:dyDescent="0.35">
      <c r="A29" s="46" t="s">
        <v>105</v>
      </c>
      <c r="C29" s="102">
        <v>-272511437</v>
      </c>
      <c r="D29" s="259"/>
      <c r="E29" s="111">
        <f>+'[4]November 2023'!$G147</f>
        <v>78644128.894500002</v>
      </c>
      <c r="F29" s="111">
        <f>+'[4]December 2023'!$G147</f>
        <v>86933811.091499984</v>
      </c>
      <c r="G29" s="111">
        <f>+'[4]January 2024'!$G147</f>
        <v>97086604.63699998</v>
      </c>
      <c r="H29" s="182">
        <f>+'[4]February 2024'!$G147</f>
        <v>95284044.212800011</v>
      </c>
      <c r="I29" s="185">
        <f>+'[4]March 2024'!$G147</f>
        <v>79842023.754800022</v>
      </c>
      <c r="J29" s="177">
        <f>+'[4]April 2024'!$G147</f>
        <v>76287525.173500001</v>
      </c>
      <c r="K29" s="173">
        <f>'[1]KCPL Billed kWh Sales'!R27</f>
        <v>85744765</v>
      </c>
      <c r="L29" s="173">
        <f>'[1]KCPL Billed kWh Sales'!S27</f>
        <v>94486622</v>
      </c>
      <c r="M29" s="77">
        <f>'[1]KCPL Billed kWh Sales'!T27</f>
        <v>106003698</v>
      </c>
      <c r="P29" s="47">
        <f t="shared" si="9"/>
        <v>-286235085</v>
      </c>
    </row>
    <row r="30" spans="1:21" x14ac:dyDescent="0.35">
      <c r="A30" s="46" t="s">
        <v>106</v>
      </c>
      <c r="C30" s="102">
        <v>-441151256</v>
      </c>
      <c r="D30" s="259"/>
      <c r="E30" s="111">
        <f>+'[4]November 2023'!$G148</f>
        <v>131554682.84800003</v>
      </c>
      <c r="F30" s="111">
        <f>+'[4]December 2023'!$G148</f>
        <v>144800014.82299998</v>
      </c>
      <c r="G30" s="111">
        <f>+'[4]January 2024'!$G148</f>
        <v>156884700.16639999</v>
      </c>
      <c r="H30" s="182">
        <f>+'[4]February 2024'!$G148</f>
        <v>154531222.60309997</v>
      </c>
      <c r="I30" s="185">
        <f>+'[4]March 2024'!$G148</f>
        <v>141517589.9102</v>
      </c>
      <c r="J30" s="177">
        <f>+'[4]April 2024'!$G148</f>
        <v>135123825.48190001</v>
      </c>
      <c r="K30" s="173">
        <f>'[1]KCPL Billed kWh Sales'!R28</f>
        <v>136306009</v>
      </c>
      <c r="L30" s="173">
        <f>'[1]KCPL Billed kWh Sales'!S28</f>
        <v>150202690</v>
      </c>
      <c r="M30" s="77">
        <f>'[1]KCPL Billed kWh Sales'!T28</f>
        <v>168511057</v>
      </c>
      <c r="P30" s="47">
        <f t="shared" si="9"/>
        <v>-455019756</v>
      </c>
    </row>
    <row r="31" spans="1:21" x14ac:dyDescent="0.35">
      <c r="A31" s="46" t="s">
        <v>107</v>
      </c>
      <c r="C31" s="102">
        <v>-114740108</v>
      </c>
      <c r="D31" s="259"/>
      <c r="E31" s="111">
        <f>+'[4]November 2023'!$G149</f>
        <v>39877867.000700004</v>
      </c>
      <c r="F31" s="111">
        <f>+'[4]December 2023'!$G149</f>
        <v>39912965.195199996</v>
      </c>
      <c r="G31" s="111">
        <f>+'[4]January 2024'!$G149</f>
        <v>41702932.816799998</v>
      </c>
      <c r="H31" s="182">
        <f>+'[4]February 2024'!$G149</f>
        <v>39026709.45700001</v>
      </c>
      <c r="I31" s="185">
        <f>+'[4]March 2024'!$G149</f>
        <v>35707943.593199998</v>
      </c>
      <c r="J31" s="177">
        <f>+'[4]April 2024'!$G149</f>
        <v>35543138.8156</v>
      </c>
      <c r="K31" s="173">
        <f>'[1]KCPL Billed kWh Sales'!R29</f>
        <v>36213740</v>
      </c>
      <c r="L31" s="173">
        <f>'[1]KCPL Billed kWh Sales'!S29</f>
        <v>39905806</v>
      </c>
      <c r="M31" s="77">
        <f>'[1]KCPL Billed kWh Sales'!T29</f>
        <v>44769967</v>
      </c>
      <c r="P31" s="47">
        <f t="shared" si="9"/>
        <v>-120889513</v>
      </c>
    </row>
    <row r="32" spans="1:21" x14ac:dyDescent="0.35">
      <c r="C32" s="99"/>
      <c r="D32" s="147"/>
      <c r="E32" s="31"/>
      <c r="F32" s="31"/>
      <c r="G32" s="31"/>
      <c r="H32" s="28"/>
      <c r="I32" s="31"/>
      <c r="J32" s="11"/>
      <c r="K32" s="17"/>
      <c r="L32" s="17"/>
      <c r="M32" s="11"/>
    </row>
    <row r="33" spans="1:16" x14ac:dyDescent="0.35">
      <c r="A33" s="46" t="s">
        <v>33</v>
      </c>
      <c r="C33" s="99"/>
      <c r="D33" s="147"/>
      <c r="E33" s="18"/>
      <c r="F33" s="18"/>
      <c r="G33" s="18"/>
      <c r="H33" s="91"/>
      <c r="I33" s="18"/>
      <c r="J33" s="11"/>
      <c r="K33" s="57"/>
      <c r="L33" s="57"/>
      <c r="M33" s="58"/>
      <c r="N33" s="63" t="s">
        <v>49</v>
      </c>
      <c r="O33" s="39"/>
    </row>
    <row r="34" spans="1:16" x14ac:dyDescent="0.35">
      <c r="A34" s="46" t="s">
        <v>24</v>
      </c>
      <c r="C34" s="97">
        <v>0</v>
      </c>
      <c r="D34" s="256"/>
      <c r="E34" s="109">
        <f>'[4]November 2023'!$G43+'[4]November 2023'!$G52</f>
        <v>0</v>
      </c>
      <c r="F34" s="109">
        <f>'[4]December 2023'!$G43+'[4]December 2023'!$G52</f>
        <v>0</v>
      </c>
      <c r="G34" s="111">
        <f>'[4]January 2024'!$G43+'[4]January 2024'!$G52</f>
        <v>0</v>
      </c>
      <c r="H34" s="183">
        <f>'[4]February 2024'!$G43+'[4]February 2024'!$G52</f>
        <v>0</v>
      </c>
      <c r="I34" s="55">
        <f>'[4]March 2024'!$G43+'[4]March 2024'!$G52</f>
        <v>0</v>
      </c>
      <c r="J34" s="175">
        <f>'[4]April 2024'!$G43+'[4]April 2024'!$G52</f>
        <v>0</v>
      </c>
      <c r="K34" s="120">
        <f>ROUND(K27*$N34,2)</f>
        <v>0</v>
      </c>
      <c r="L34" s="41">
        <f t="shared" ref="L34:M34" si="10">ROUND(L27*$N34,2)</f>
        <v>0</v>
      </c>
      <c r="M34" s="61">
        <f t="shared" si="10"/>
        <v>0</v>
      </c>
      <c r="N34" s="72">
        <v>0</v>
      </c>
      <c r="P34" s="47">
        <f t="shared" ref="P34:P40" si="11">-SUM(K34:M34)</f>
        <v>0</v>
      </c>
    </row>
    <row r="35" spans="1:16" x14ac:dyDescent="0.35">
      <c r="A35" s="46" t="s">
        <v>104</v>
      </c>
      <c r="C35" s="97">
        <v>0</v>
      </c>
      <c r="D35" s="256"/>
      <c r="E35" s="109">
        <f>'[4]November 2023'!$G44+'[4]November 2023'!$G53</f>
        <v>-0.04</v>
      </c>
      <c r="F35" s="109">
        <f>'[4]December 2023'!$G44+'[4]December 2023'!$G53</f>
        <v>0.14000000000000001</v>
      </c>
      <c r="G35" s="111">
        <f>'[4]January 2024'!$G44+'[4]January 2024'!$G53</f>
        <v>-0.61</v>
      </c>
      <c r="H35" s="183">
        <f>'[4]February 2024'!$G44+'[4]February 2024'!$G53</f>
        <v>-57.662160202033277</v>
      </c>
      <c r="I35" s="55">
        <f>'[4]March 2024'!$G44+'[4]March 2024'!$G53</f>
        <v>-0.10999999999999999</v>
      </c>
      <c r="J35" s="175">
        <f>'[4]April 2024'!$G44+'[4]April 2024'!$G53</f>
        <v>-1.0000000000000002E-2</v>
      </c>
      <c r="K35" s="120">
        <f t="shared" ref="K35:M35" si="12">ROUND(K28*$N35,2)</f>
        <v>0</v>
      </c>
      <c r="L35" s="41">
        <f t="shared" si="12"/>
        <v>0</v>
      </c>
      <c r="M35" s="61">
        <f t="shared" si="12"/>
        <v>0</v>
      </c>
      <c r="N35" s="72">
        <v>0</v>
      </c>
      <c r="P35" s="47">
        <f t="shared" si="11"/>
        <v>0</v>
      </c>
    </row>
    <row r="36" spans="1:16" x14ac:dyDescent="0.35">
      <c r="A36" s="46" t="s">
        <v>105</v>
      </c>
      <c r="C36" s="97">
        <v>2725.11</v>
      </c>
      <c r="D36" s="256"/>
      <c r="E36" s="109">
        <f>'[4]November 2023'!$G45+'[4]November 2023'!$G54</f>
        <v>-767.71</v>
      </c>
      <c r="F36" s="109">
        <f>'[4]December 2023'!$G45+'[4]December 2023'!$G54</f>
        <v>-864.51</v>
      </c>
      <c r="G36" s="111">
        <f>'[4]January 2024'!$G45+'[4]January 2024'!$G54</f>
        <v>-964.22</v>
      </c>
      <c r="H36" s="183">
        <f>'[4]February 2024'!$G45+'[4]February 2024'!$G54</f>
        <v>-674.29</v>
      </c>
      <c r="I36" s="55">
        <f>'[4]March 2024'!$G45+'[4]March 2024'!$G54</f>
        <v>-1.62</v>
      </c>
      <c r="J36" s="175">
        <f>'[4]April 2024'!$G45+'[4]April 2024'!$G54</f>
        <v>-9.9999999999999978E-2</v>
      </c>
      <c r="K36" s="120">
        <f t="shared" ref="K36:M36" si="13">ROUND(K29*$N36,2)</f>
        <v>0</v>
      </c>
      <c r="L36" s="41">
        <f t="shared" si="13"/>
        <v>0</v>
      </c>
      <c r="M36" s="61">
        <f t="shared" si="13"/>
        <v>0</v>
      </c>
      <c r="N36" s="72">
        <v>0</v>
      </c>
      <c r="P36" s="47">
        <f t="shared" si="11"/>
        <v>0</v>
      </c>
    </row>
    <row r="37" spans="1:16" x14ac:dyDescent="0.35">
      <c r="A37" s="46" t="s">
        <v>106</v>
      </c>
      <c r="C37" s="97">
        <v>0</v>
      </c>
      <c r="D37" s="256"/>
      <c r="E37" s="109">
        <f>'[4]November 2023'!$G46+'[4]November 2023'!$G55</f>
        <v>0</v>
      </c>
      <c r="F37" s="109">
        <f>'[4]December 2023'!$G46+'[4]December 2023'!$G55</f>
        <v>0</v>
      </c>
      <c r="G37" s="111">
        <f>'[4]January 2024'!$G46+'[4]January 2024'!$G55</f>
        <v>0</v>
      </c>
      <c r="H37" s="183">
        <f>'[4]February 2024'!$G46+'[4]February 2024'!$G55</f>
        <v>0.19</v>
      </c>
      <c r="I37" s="55">
        <f>'[4]March 2024'!$G46+'[4]March 2024'!$G55</f>
        <v>-3.3499999999999996</v>
      </c>
      <c r="J37" s="175">
        <f>'[4]April 2024'!$G46+'[4]April 2024'!$G55</f>
        <v>0</v>
      </c>
      <c r="K37" s="120">
        <f t="shared" ref="K37:M37" si="14">ROUND(K30*$N37,2)</f>
        <v>0</v>
      </c>
      <c r="L37" s="41">
        <f t="shared" si="14"/>
        <v>0</v>
      </c>
      <c r="M37" s="61">
        <f t="shared" si="14"/>
        <v>0</v>
      </c>
      <c r="N37" s="72">
        <v>0</v>
      </c>
      <c r="P37" s="47">
        <f t="shared" si="11"/>
        <v>0</v>
      </c>
    </row>
    <row r="38" spans="1:16" x14ac:dyDescent="0.35">
      <c r="A38" s="46" t="s">
        <v>107</v>
      </c>
      <c r="C38" s="97">
        <v>0</v>
      </c>
      <c r="D38" s="256"/>
      <c r="E38" s="109">
        <f>'[4]November 2023'!$G47+'[4]November 2023'!$G56</f>
        <v>714.05</v>
      </c>
      <c r="F38" s="109">
        <f>'[4]December 2023'!$G47+'[4]December 2023'!$G56</f>
        <v>-129.31</v>
      </c>
      <c r="G38" s="111">
        <f>'[4]January 2024'!$G47+'[4]January 2024'!$G56</f>
        <v>13.689999999999994</v>
      </c>
      <c r="H38" s="183">
        <f>'[4]February 2024'!$G47+'[4]February 2024'!$G56</f>
        <v>-13127.917839797967</v>
      </c>
      <c r="I38" s="55">
        <f>'[4]March 2024'!$G47+'[4]March 2024'!$G56</f>
        <v>5.0799999999999699</v>
      </c>
      <c r="J38" s="175">
        <f>'[4]April 2024'!$G47+'[4]April 2024'!$G56</f>
        <v>0.1100000000000001</v>
      </c>
      <c r="K38" s="120">
        <f>ROUND(K31*$N38,2)</f>
        <v>0</v>
      </c>
      <c r="L38" s="41">
        <f t="shared" ref="L38:M38" si="15">ROUND(L31*$N38,2)</f>
        <v>0</v>
      </c>
      <c r="M38" s="61">
        <f t="shared" si="15"/>
        <v>0</v>
      </c>
      <c r="N38" s="72">
        <v>0</v>
      </c>
      <c r="P38" s="47">
        <f t="shared" si="11"/>
        <v>0</v>
      </c>
    </row>
    <row r="39" spans="1:16" x14ac:dyDescent="0.35">
      <c r="C39" s="67"/>
      <c r="D39" s="68"/>
      <c r="E39" s="18"/>
      <c r="F39" s="18"/>
      <c r="G39" s="18"/>
      <c r="H39" s="91"/>
      <c r="I39" s="18"/>
      <c r="J39" s="11"/>
      <c r="K39" s="56"/>
      <c r="L39" s="56"/>
      <c r="M39" s="13"/>
      <c r="N39" s="4"/>
    </row>
    <row r="40" spans="1:16" ht="15" thickBot="1" x14ac:dyDescent="0.4">
      <c r="A40" s="46" t="s">
        <v>14</v>
      </c>
      <c r="C40" s="103">
        <v>158.51</v>
      </c>
      <c r="D40" s="260"/>
      <c r="E40" s="112">
        <v>-83.55</v>
      </c>
      <c r="F40" s="112">
        <v>-83.07</v>
      </c>
      <c r="G40" s="113">
        <v>-77.97</v>
      </c>
      <c r="H40" s="26">
        <v>0</v>
      </c>
      <c r="I40" s="119">
        <v>0</v>
      </c>
      <c r="J40" s="176">
        <v>0</v>
      </c>
      <c r="K40" s="174">
        <v>0</v>
      </c>
      <c r="L40" s="138">
        <v>0</v>
      </c>
      <c r="M40" s="81">
        <v>0</v>
      </c>
      <c r="P40" s="47">
        <f t="shared" si="11"/>
        <v>0</v>
      </c>
    </row>
    <row r="41" spans="1:16" x14ac:dyDescent="0.35">
      <c r="C41" s="99"/>
      <c r="D41" s="147"/>
      <c r="E41" s="31"/>
      <c r="F41" s="31"/>
      <c r="G41" s="31"/>
      <c r="H41" s="28"/>
      <c r="I41" s="31"/>
      <c r="J41" s="11"/>
      <c r="K41" s="17"/>
      <c r="L41" s="17"/>
      <c r="M41" s="11"/>
    </row>
    <row r="42" spans="1:16" x14ac:dyDescent="0.35">
      <c r="A42" s="46" t="s">
        <v>51</v>
      </c>
      <c r="C42" s="99"/>
      <c r="D42" s="147"/>
      <c r="E42" s="31"/>
      <c r="F42" s="31"/>
      <c r="G42" s="31"/>
      <c r="H42" s="28"/>
      <c r="I42" s="31"/>
      <c r="J42" s="11"/>
      <c r="K42" s="17"/>
      <c r="L42" s="17"/>
      <c r="M42" s="11"/>
    </row>
    <row r="43" spans="1:16" x14ac:dyDescent="0.35">
      <c r="A43" s="46" t="s">
        <v>24</v>
      </c>
      <c r="C43" s="40">
        <f t="shared" ref="C43:M43" si="16">C23-C34</f>
        <v>0</v>
      </c>
      <c r="D43" s="120">
        <v>0</v>
      </c>
      <c r="E43" s="41">
        <f t="shared" si="16"/>
        <v>0</v>
      </c>
      <c r="F43" s="41">
        <f t="shared" si="16"/>
        <v>0</v>
      </c>
      <c r="G43" s="108">
        <f t="shared" si="16"/>
        <v>0</v>
      </c>
      <c r="H43" s="40">
        <f t="shared" si="16"/>
        <v>0</v>
      </c>
      <c r="I43" s="41">
        <f t="shared" si="16"/>
        <v>0</v>
      </c>
      <c r="J43" s="61">
        <f t="shared" si="16"/>
        <v>0</v>
      </c>
      <c r="K43" s="120">
        <f t="shared" si="16"/>
        <v>0</v>
      </c>
      <c r="L43" s="41">
        <f t="shared" si="16"/>
        <v>0</v>
      </c>
      <c r="M43" s="49">
        <f t="shared" si="16"/>
        <v>0</v>
      </c>
    </row>
    <row r="44" spans="1:16" x14ac:dyDescent="0.35">
      <c r="A44" s="46" t="s">
        <v>25</v>
      </c>
      <c r="C44" s="40">
        <f>C24-SUM(C35:C38)</f>
        <v>-2725.11</v>
      </c>
      <c r="D44" s="120">
        <f>-D43</f>
        <v>0</v>
      </c>
      <c r="E44" s="41">
        <f>E24-SUM(E35:E38)</f>
        <v>53.700000000000045</v>
      </c>
      <c r="F44" s="41">
        <f t="shared" ref="F44:M44" si="17">F24-SUM(F35:F38)</f>
        <v>993.68000000000006</v>
      </c>
      <c r="G44" s="108">
        <f t="shared" si="17"/>
        <v>951.1400000000001</v>
      </c>
      <c r="H44" s="40">
        <f t="shared" si="17"/>
        <v>13859.68</v>
      </c>
      <c r="I44" s="41">
        <f t="shared" si="17"/>
        <v>3.0198066269804258E-14</v>
      </c>
      <c r="J44" s="61">
        <f t="shared" si="17"/>
        <v>-1.1102230246251565E-16</v>
      </c>
      <c r="K44" s="120">
        <f t="shared" si="17"/>
        <v>0</v>
      </c>
      <c r="L44" s="41">
        <f t="shared" si="17"/>
        <v>0</v>
      </c>
      <c r="M44" s="49">
        <f t="shared" si="17"/>
        <v>0</v>
      </c>
    </row>
    <row r="45" spans="1:16" x14ac:dyDescent="0.35">
      <c r="C45" s="99"/>
      <c r="D45" s="147"/>
      <c r="E45" s="31"/>
      <c r="F45" s="31"/>
      <c r="G45" s="31"/>
      <c r="H45" s="28"/>
      <c r="I45" s="31"/>
      <c r="J45" s="11"/>
      <c r="K45" s="17"/>
      <c r="L45" s="17"/>
      <c r="M45" s="11"/>
    </row>
    <row r="46" spans="1:16" ht="15" thickBot="1" x14ac:dyDescent="0.4">
      <c r="A46" s="46" t="s">
        <v>52</v>
      </c>
      <c r="C46" s="104"/>
      <c r="D46" s="261"/>
      <c r="E46" s="31"/>
      <c r="F46" s="31"/>
      <c r="G46" s="31"/>
      <c r="H46" s="28"/>
      <c r="I46" s="31"/>
      <c r="J46" s="11"/>
      <c r="K46" s="17"/>
      <c r="L46" s="17"/>
      <c r="M46" s="11"/>
    </row>
    <row r="47" spans="1:16" x14ac:dyDescent="0.35">
      <c r="A47" s="46" t="s">
        <v>24</v>
      </c>
      <c r="B47" s="307">
        <v>-2.3305801732931286E-12</v>
      </c>
      <c r="C47" s="41">
        <f>B47+C43+B52</f>
        <v>-2.3305801732931286E-12</v>
      </c>
      <c r="D47" s="41">
        <f>C47+D43+C52</f>
        <v>-2.3305801732931286E-12</v>
      </c>
      <c r="E47" s="41">
        <f t="shared" ref="E47" si="18">D47+E43+D52</f>
        <v>-2.3305801732931286E-12</v>
      </c>
      <c r="F47" s="41">
        <f t="shared" ref="F47" si="19">E47+F43+E52</f>
        <v>-2.3305801732931286E-12</v>
      </c>
      <c r="G47" s="108">
        <f t="shared" ref="G47:M47" si="20">F47+G43+F52</f>
        <v>-2.3305801732931286E-12</v>
      </c>
      <c r="H47" s="284">
        <f>G47+H43+G52</f>
        <v>-2.3305801732931286E-12</v>
      </c>
      <c r="I47" s="285">
        <f t="shared" si="20"/>
        <v>-2.3305801732931286E-12</v>
      </c>
      <c r="J47" s="61">
        <f t="shared" si="20"/>
        <v>-2.3305801732931286E-12</v>
      </c>
      <c r="K47" s="120">
        <f t="shared" si="20"/>
        <v>-2.3305801732931286E-12</v>
      </c>
      <c r="L47" s="41">
        <f t="shared" si="20"/>
        <v>-2.3305801732931286E-12</v>
      </c>
      <c r="M47" s="49">
        <f t="shared" si="20"/>
        <v>-2.3305801732931286E-12</v>
      </c>
    </row>
    <row r="48" spans="1:16" ht="15" thickBot="1" x14ac:dyDescent="0.4">
      <c r="A48" s="46" t="s">
        <v>25</v>
      </c>
      <c r="B48" s="308">
        <v>-13047.110000000026</v>
      </c>
      <c r="C48" s="41">
        <f>B48+C44+B53</f>
        <v>-15772.220000000027</v>
      </c>
      <c r="D48" s="41">
        <f>C48+D44+C53</f>
        <v>-15613.710000000026</v>
      </c>
      <c r="E48" s="41">
        <f>C48+D44+E44+C53+D53</f>
        <v>-15560.010000000026</v>
      </c>
      <c r="F48" s="41">
        <f t="shared" ref="F48:M48" si="21">E48+F44+E53</f>
        <v>-14649.880000000025</v>
      </c>
      <c r="G48" s="108">
        <f t="shared" si="21"/>
        <v>-13781.800000000025</v>
      </c>
      <c r="H48" s="40">
        <f t="shared" si="21"/>
        <v>-9.0000000024446081E-2</v>
      </c>
      <c r="I48" s="41">
        <f t="shared" si="21"/>
        <v>-9.0000000024415883E-2</v>
      </c>
      <c r="J48" s="61">
        <f t="shared" si="21"/>
        <v>-9.0000000024415994E-2</v>
      </c>
      <c r="K48" s="120">
        <f t="shared" si="21"/>
        <v>-9.0000000024415994E-2</v>
      </c>
      <c r="L48" s="41">
        <f t="shared" si="21"/>
        <v>-9.0000000024415994E-2</v>
      </c>
      <c r="M48" s="49">
        <f t="shared" si="21"/>
        <v>-9.0000000024415994E-2</v>
      </c>
    </row>
    <row r="49" spans="1:16" x14ac:dyDescent="0.35">
      <c r="C49" s="99"/>
      <c r="D49" s="147"/>
      <c r="E49" s="31"/>
      <c r="F49" s="31"/>
      <c r="G49" s="31"/>
      <c r="H49" s="28"/>
      <c r="I49" s="31"/>
      <c r="J49" s="11"/>
      <c r="K49" s="17"/>
      <c r="L49" s="17"/>
      <c r="M49" s="11"/>
    </row>
    <row r="50" spans="1:16" x14ac:dyDescent="0.35">
      <c r="A50" s="39" t="s">
        <v>48</v>
      </c>
      <c r="B50" s="39"/>
      <c r="C50" s="104"/>
      <c r="D50" s="261"/>
      <c r="E50" s="83">
        <f>'[5]Metro ST Rate Nov 2023'!$E$42</f>
        <v>5.3602700000000003E-3</v>
      </c>
      <c r="F50" s="83">
        <f>'[5]Metro ST Rate Dec 2023'!$E$43</f>
        <v>5.4837899999999997E-3</v>
      </c>
      <c r="G50" s="83">
        <f>'[5]Metro ST Rate Jan 2024'!$E$43</f>
        <v>5.4684599999999996E-3</v>
      </c>
      <c r="H50" s="84">
        <f>'[5]Metro ST Rate Feb 2024'!$E$41</f>
        <v>5.4552200000000002E-3</v>
      </c>
      <c r="I50" s="83">
        <f>'[5]Metro ST Rate Mar 2024'!$E$43</f>
        <v>5.4582900000000002E-3</v>
      </c>
      <c r="J50" s="92">
        <f>'[5]Metro ST Rate Apr 2024'!$E$43</f>
        <v>5.45277E-3</v>
      </c>
      <c r="K50" s="83">
        <f>+J50</f>
        <v>5.45277E-3</v>
      </c>
      <c r="L50" s="83">
        <f>+K50</f>
        <v>5.45277E-3</v>
      </c>
      <c r="M50" s="92"/>
    </row>
    <row r="51" spans="1:16" x14ac:dyDescent="0.35">
      <c r="A51" s="39" t="s">
        <v>36</v>
      </c>
      <c r="B51" s="39"/>
      <c r="C51" s="99"/>
      <c r="D51" s="147"/>
      <c r="E51" s="31"/>
      <c r="F51" s="31"/>
      <c r="G51" s="31"/>
      <c r="H51" s="28"/>
      <c r="I51" s="31"/>
      <c r="J51" s="11"/>
      <c r="K51" s="17"/>
      <c r="L51" s="17"/>
      <c r="M51" s="11"/>
      <c r="N51" s="71"/>
    </row>
    <row r="52" spans="1:16" x14ac:dyDescent="0.35">
      <c r="A52" s="46" t="s">
        <v>24</v>
      </c>
      <c r="C52" s="305">
        <v>0</v>
      </c>
      <c r="D52" s="120"/>
      <c r="E52" s="41">
        <f>ROUND((C47+C52+D52+E43/2)*E$50,2)</f>
        <v>0</v>
      </c>
      <c r="F52" s="41">
        <f t="shared" ref="F52:F53" si="22">ROUND((E47+E52+F43/2)*F$50,2)</f>
        <v>0</v>
      </c>
      <c r="G52" s="108">
        <f t="shared" ref="G52:G53" si="23">ROUND((F47+F52+G43/2)*G$50,2)</f>
        <v>0</v>
      </c>
      <c r="H52" s="40">
        <f>ROUND((G47+G52+H43/2)*H$50,2)*0</f>
        <v>0</v>
      </c>
      <c r="I52" s="120">
        <f t="shared" ref="I52:J53" si="24">ROUND((H47+H52+I43/2)*I$50,2)</f>
        <v>0</v>
      </c>
      <c r="J52" s="61">
        <f t="shared" si="24"/>
        <v>0</v>
      </c>
      <c r="K52" s="120">
        <f t="shared" ref="K52:K53" si="25">ROUND((J47+J52+K43/2)*K$50,2)</f>
        <v>0</v>
      </c>
      <c r="L52" s="120">
        <f t="shared" ref="L52:L53" si="26">ROUND((K47+K52+L43/2)*L$50,2)</f>
        <v>0</v>
      </c>
      <c r="M52" s="49"/>
      <c r="P52" s="47">
        <f t="shared" ref="P52:P53" si="27">-SUM(K52:M52)</f>
        <v>0</v>
      </c>
    </row>
    <row r="53" spans="1:16" ht="15" thickBot="1" x14ac:dyDescent="0.4">
      <c r="A53" s="46" t="s">
        <v>25</v>
      </c>
      <c r="C53" s="306">
        <v>158.51</v>
      </c>
      <c r="D53" s="262"/>
      <c r="E53" s="41">
        <f>ROUND((C48+C53+D53+E44/2)*E$50,2)</f>
        <v>-83.55</v>
      </c>
      <c r="F53" s="41">
        <f t="shared" si="22"/>
        <v>-83.06</v>
      </c>
      <c r="G53" s="108">
        <f t="shared" si="23"/>
        <v>-77.97</v>
      </c>
      <c r="H53" s="40">
        <f>ROUND((G48+G53+H44/2)*H$50,2)*0</f>
        <v>0</v>
      </c>
      <c r="I53" s="120">
        <f t="shared" si="24"/>
        <v>0</v>
      </c>
      <c r="J53" s="61">
        <f t="shared" si="24"/>
        <v>0</v>
      </c>
      <c r="K53" s="120">
        <f t="shared" si="25"/>
        <v>0</v>
      </c>
      <c r="L53" s="120">
        <f t="shared" si="26"/>
        <v>0</v>
      </c>
      <c r="M53" s="49"/>
      <c r="P53" s="47">
        <f t="shared" si="27"/>
        <v>0</v>
      </c>
    </row>
    <row r="54" spans="1:16" ht="15.5" thickTop="1" thickBot="1" x14ac:dyDescent="0.4">
      <c r="A54" s="54" t="s">
        <v>22</v>
      </c>
      <c r="B54" s="54"/>
      <c r="C54" s="287"/>
      <c r="D54" s="263"/>
      <c r="E54" s="32">
        <f t="shared" ref="E54:M54" si="28">SUM(E52:E53)+SUM(E47:E48)-E57</f>
        <v>0</v>
      </c>
      <c r="F54" s="32">
        <f t="shared" si="28"/>
        <v>0</v>
      </c>
      <c r="G54" s="50">
        <f t="shared" si="28"/>
        <v>0</v>
      </c>
      <c r="H54" s="121">
        <f t="shared" si="28"/>
        <v>6.5369931689929217E-13</v>
      </c>
      <c r="I54" s="32">
        <f t="shared" si="28"/>
        <v>6.5369931689929217E-13</v>
      </c>
      <c r="J54" s="62">
        <f t="shared" si="28"/>
        <v>6.5369931689929217E-13</v>
      </c>
      <c r="K54" s="161">
        <f t="shared" si="28"/>
        <v>6.5369931689929217E-13</v>
      </c>
      <c r="L54" s="32">
        <f t="shared" si="28"/>
        <v>6.5369931689929217E-13</v>
      </c>
      <c r="M54" s="96">
        <f t="shared" si="28"/>
        <v>6.5369931689929217E-13</v>
      </c>
    </row>
    <row r="55" spans="1:16" ht="15.5" thickTop="1" thickBot="1" x14ac:dyDescent="0.4">
      <c r="A55" s="54" t="s">
        <v>23</v>
      </c>
      <c r="B55" s="54"/>
      <c r="C55" s="288"/>
      <c r="D55" s="264"/>
      <c r="E55" s="32">
        <f t="shared" ref="E55:M55" si="29">SUM(E52:E53)-E40</f>
        <v>0</v>
      </c>
      <c r="F55" s="32">
        <f t="shared" si="29"/>
        <v>9.9999999999909051E-3</v>
      </c>
      <c r="G55" s="50">
        <f t="shared" si="29"/>
        <v>0</v>
      </c>
      <c r="H55" s="51">
        <f t="shared" si="29"/>
        <v>0</v>
      </c>
      <c r="I55" s="32">
        <f t="shared" si="29"/>
        <v>0</v>
      </c>
      <c r="J55" s="62">
        <f t="shared" si="29"/>
        <v>0</v>
      </c>
      <c r="K55" s="161">
        <f t="shared" si="29"/>
        <v>0</v>
      </c>
      <c r="L55" s="32">
        <f t="shared" si="29"/>
        <v>0</v>
      </c>
      <c r="M55" s="96">
        <f t="shared" si="29"/>
        <v>0</v>
      </c>
    </row>
    <row r="56" spans="1:16" ht="15.5" thickTop="1" thickBot="1" x14ac:dyDescent="0.4">
      <c r="C56" s="99"/>
      <c r="D56" s="147"/>
      <c r="E56" s="17"/>
      <c r="F56" s="17"/>
      <c r="G56" s="17"/>
      <c r="H56" s="10"/>
      <c r="I56" s="17"/>
      <c r="J56" s="11"/>
      <c r="K56" s="17"/>
      <c r="L56" s="17"/>
      <c r="M56" s="11"/>
    </row>
    <row r="57" spans="1:16" ht="15" thickBot="1" x14ac:dyDescent="0.4">
      <c r="A57" s="46" t="s">
        <v>35</v>
      </c>
      <c r="B57" s="116">
        <f>+B47+B48</f>
        <v>-13047.110000000028</v>
      </c>
      <c r="C57" s="40">
        <f t="shared" ref="C57:M57" si="30">(SUM(C16:C20)-SUM(C34:C38))+SUM(C52:C53)+B57</f>
        <v>-15613.710000000028</v>
      </c>
      <c r="D57" s="40">
        <f t="shared" si="30"/>
        <v>-15613.710000000028</v>
      </c>
      <c r="E57" s="41">
        <f>(SUM(E16:E20)-SUM(E34:E38))+SUM(D52:E53)+C57</f>
        <v>-15643.560000000029</v>
      </c>
      <c r="F57" s="41">
        <f t="shared" si="30"/>
        <v>-14732.940000000028</v>
      </c>
      <c r="G57" s="108">
        <f t="shared" si="30"/>
        <v>-13859.770000000028</v>
      </c>
      <c r="H57" s="40">
        <f t="shared" si="30"/>
        <v>-9.000000002743036E-2</v>
      </c>
      <c r="I57" s="41">
        <f t="shared" si="30"/>
        <v>-9.0000000027400162E-2</v>
      </c>
      <c r="J57" s="61">
        <f t="shared" si="30"/>
        <v>-9.0000000027400273E-2</v>
      </c>
      <c r="K57" s="120">
        <f t="shared" si="30"/>
        <v>-9.0000000027400273E-2</v>
      </c>
      <c r="L57" s="41">
        <f t="shared" si="30"/>
        <v>-9.0000000027400273E-2</v>
      </c>
      <c r="M57" s="61">
        <f t="shared" si="30"/>
        <v>-9.0000000027400273E-2</v>
      </c>
    </row>
    <row r="58" spans="1:16" x14ac:dyDescent="0.35">
      <c r="A58" s="46" t="s">
        <v>12</v>
      </c>
      <c r="C58" s="117"/>
      <c r="D58" s="17"/>
      <c r="E58" s="56"/>
      <c r="F58" s="56"/>
      <c r="G58" s="56"/>
      <c r="H58" s="12"/>
      <c r="I58" s="56"/>
      <c r="J58" s="11"/>
      <c r="K58" s="17"/>
      <c r="L58" s="17"/>
      <c r="M58" s="11"/>
    </row>
    <row r="59" spans="1:16" ht="15" thickBot="1" x14ac:dyDescent="0.4">
      <c r="B59" s="17"/>
      <c r="C59" s="43"/>
      <c r="D59" s="44"/>
      <c r="E59" s="44"/>
      <c r="F59" s="44"/>
      <c r="G59" s="44"/>
      <c r="H59" s="43"/>
      <c r="I59" s="44"/>
      <c r="J59" s="45"/>
      <c r="K59" s="44"/>
      <c r="L59" s="44"/>
      <c r="M59" s="45"/>
    </row>
    <row r="61" spans="1:16" x14ac:dyDescent="0.35">
      <c r="A61" s="69" t="s">
        <v>11</v>
      </c>
      <c r="B61" s="69"/>
      <c r="C61" s="69"/>
      <c r="D61" s="69"/>
    </row>
    <row r="62" spans="1:16" ht="37.5" customHeight="1" x14ac:dyDescent="0.35">
      <c r="A62" s="350" t="s">
        <v>187</v>
      </c>
      <c r="B62" s="350"/>
      <c r="C62" s="350"/>
      <c r="D62" s="350"/>
      <c r="E62" s="350"/>
      <c r="F62" s="350"/>
      <c r="G62" s="350"/>
      <c r="H62" s="350"/>
      <c r="I62" s="350"/>
      <c r="J62" s="350"/>
      <c r="K62" s="142"/>
      <c r="L62" s="142"/>
      <c r="M62" s="142"/>
    </row>
    <row r="63" spans="1:16" ht="68.25" customHeight="1" x14ac:dyDescent="0.35">
      <c r="A63" s="350" t="s">
        <v>283</v>
      </c>
      <c r="B63" s="350"/>
      <c r="C63" s="350"/>
      <c r="D63" s="350"/>
      <c r="E63" s="350"/>
      <c r="F63" s="350"/>
      <c r="G63" s="350"/>
      <c r="H63" s="350"/>
      <c r="I63" s="350"/>
      <c r="J63" s="350"/>
      <c r="K63" s="142"/>
      <c r="L63" s="142"/>
      <c r="M63" s="142"/>
    </row>
    <row r="64" spans="1:16" ht="58.5" customHeight="1" x14ac:dyDescent="0.35">
      <c r="A64" s="350" t="s">
        <v>291</v>
      </c>
      <c r="B64" s="350"/>
      <c r="C64" s="350"/>
      <c r="D64" s="350"/>
      <c r="E64" s="350"/>
      <c r="F64" s="350"/>
      <c r="G64" s="350"/>
      <c r="H64" s="350"/>
      <c r="I64" s="350"/>
      <c r="J64" s="350"/>
      <c r="K64" s="142"/>
      <c r="L64" s="142"/>
      <c r="M64" s="142"/>
    </row>
    <row r="65" spans="1:14" x14ac:dyDescent="0.35">
      <c r="A65" s="350" t="s">
        <v>303</v>
      </c>
      <c r="B65" s="350"/>
      <c r="C65" s="350"/>
      <c r="D65" s="350"/>
      <c r="E65" s="350"/>
      <c r="F65" s="350"/>
      <c r="G65" s="350"/>
      <c r="H65" s="350"/>
      <c r="I65" s="350"/>
      <c r="J65" s="350"/>
    </row>
    <row r="66" spans="1:14" x14ac:dyDescent="0.35">
      <c r="A66" s="63" t="s">
        <v>284</v>
      </c>
      <c r="B66" s="63"/>
      <c r="C66" s="63"/>
      <c r="D66" s="63"/>
      <c r="E66" s="39"/>
      <c r="F66" s="39"/>
      <c r="G66" s="39"/>
      <c r="H66" s="39"/>
      <c r="I66" s="39"/>
      <c r="J66" s="334"/>
    </row>
    <row r="67" spans="1:14" x14ac:dyDescent="0.35">
      <c r="A67" s="63" t="s">
        <v>50</v>
      </c>
      <c r="B67" s="63"/>
      <c r="C67" s="63"/>
      <c r="D67" s="63"/>
      <c r="E67" s="39"/>
      <c r="F67" s="39"/>
      <c r="G67" s="39"/>
      <c r="H67" s="39"/>
      <c r="I67" s="39"/>
      <c r="J67" s="334"/>
    </row>
    <row r="68" spans="1:14" x14ac:dyDescent="0.35">
      <c r="A68" s="3" t="s">
        <v>181</v>
      </c>
    </row>
    <row r="70" spans="1:14" ht="30" customHeight="1" x14ac:dyDescent="0.35">
      <c r="A70" s="346"/>
      <c r="B70" s="346"/>
      <c r="C70" s="346"/>
      <c r="D70" s="346"/>
      <c r="E70" s="346"/>
      <c r="F70" s="346"/>
      <c r="G70" s="346"/>
    </row>
    <row r="77" spans="1:14" x14ac:dyDescent="0.35">
      <c r="N77" s="8"/>
    </row>
  </sheetData>
  <mergeCells count="8">
    <mergeCell ref="A70:G70"/>
    <mergeCell ref="K14:M14"/>
    <mergeCell ref="A64:J64"/>
    <mergeCell ref="E14:G14"/>
    <mergeCell ref="A62:J62"/>
    <mergeCell ref="A63:J63"/>
    <mergeCell ref="H14:J14"/>
    <mergeCell ref="A65:J65"/>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81"/>
  <sheetViews>
    <sheetView zoomScale="85" zoomScaleNormal="85" workbookViewId="0">
      <selection activeCell="K24" sqref="K24"/>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customWidth="1" outlineLevel="1"/>
    <col min="17" max="17" width="16.1796875" style="46" customWidth="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Metro, Inc. - DSIM Rider Update Filed 06/01/2024</v>
      </c>
      <c r="B1" s="3"/>
      <c r="C1" s="3"/>
      <c r="D1" s="3"/>
    </row>
    <row r="2" spans="1:36" x14ac:dyDescent="0.35">
      <c r="E2" s="3" t="s">
        <v>136</v>
      </c>
    </row>
    <row r="3" spans="1:36" ht="29" x14ac:dyDescent="0.35">
      <c r="E3" s="48" t="s">
        <v>45</v>
      </c>
      <c r="F3" s="48" t="s">
        <v>44</v>
      </c>
      <c r="G3" s="70" t="s">
        <v>2</v>
      </c>
      <c r="H3" s="48" t="s">
        <v>3</v>
      </c>
      <c r="I3" s="70" t="s">
        <v>54</v>
      </c>
      <c r="J3" s="48" t="s">
        <v>10</v>
      </c>
      <c r="K3" s="48" t="s">
        <v>4</v>
      </c>
    </row>
    <row r="4" spans="1:36" x14ac:dyDescent="0.35">
      <c r="A4" s="20" t="s">
        <v>24</v>
      </c>
      <c r="E4" s="22">
        <f>SUM(C29:M29)</f>
        <v>2965167.44</v>
      </c>
      <c r="F4" s="134">
        <f>SUM(C22:M22)</f>
        <v>1171777175.7290375</v>
      </c>
      <c r="G4" s="22">
        <f>SUM(C15:L15)</f>
        <v>3385964.75</v>
      </c>
      <c r="H4" s="22">
        <f>G4-E4</f>
        <v>420797.31000000006</v>
      </c>
      <c r="I4" s="22">
        <f>+B45</f>
        <v>255020.9600000002</v>
      </c>
      <c r="J4" s="22">
        <f>SUM(C53:L53)</f>
        <v>41337.51</v>
      </c>
      <c r="K4" s="25">
        <f>SUM(H4:J4)</f>
        <v>717155.78000000026</v>
      </c>
      <c r="L4" s="47">
        <f>+K4-M45</f>
        <v>0</v>
      </c>
    </row>
    <row r="5" spans="1:36" x14ac:dyDescent="0.35">
      <c r="A5" s="20" t="s">
        <v>104</v>
      </c>
      <c r="E5" s="22">
        <f>SUM(C30:M30)</f>
        <v>397178.27216020203</v>
      </c>
      <c r="F5" s="134">
        <f>SUM(C23:M23)</f>
        <v>321924473.47840005</v>
      </c>
      <c r="G5" s="22">
        <f>SUM(C16:L16)</f>
        <v>135472.57</v>
      </c>
      <c r="H5" s="22">
        <f>G5-E5</f>
        <v>-261705.70216020202</v>
      </c>
      <c r="I5" s="22">
        <f>+B46</f>
        <v>83651.149999999965</v>
      </c>
      <c r="J5" s="22">
        <f>SUM(C54:L54)</f>
        <v>-2445.4399999999996</v>
      </c>
      <c r="K5" s="25">
        <f>SUM(H5:J5)</f>
        <v>-180499.99216020206</v>
      </c>
      <c r="L5" s="47">
        <f t="shared" ref="L5:L7" si="0">+K5-M46</f>
        <v>0</v>
      </c>
    </row>
    <row r="6" spans="1:36" x14ac:dyDescent="0.35">
      <c r="A6" s="20" t="s">
        <v>105</v>
      </c>
      <c r="E6" s="22">
        <f>SUM(C31:M31)</f>
        <v>1147997.8799999999</v>
      </c>
      <c r="F6" s="134">
        <f>SUM(C24:M24)</f>
        <v>527801785.76410002</v>
      </c>
      <c r="G6" s="22">
        <f>SUM(C17:L17)</f>
        <v>1603926.9800000002</v>
      </c>
      <c r="H6" s="22">
        <f>G6-E6</f>
        <v>455929.10000000033</v>
      </c>
      <c r="I6" s="22">
        <f>+B47</f>
        <v>697778.35000000009</v>
      </c>
      <c r="J6" s="22">
        <f>SUM(C55:L55)</f>
        <v>61415.329999999994</v>
      </c>
      <c r="K6" s="25">
        <f>SUM(H6:J6)</f>
        <v>1215122.7800000005</v>
      </c>
      <c r="L6" s="47">
        <f t="shared" si="0"/>
        <v>0</v>
      </c>
    </row>
    <row r="7" spans="1:36" x14ac:dyDescent="0.35">
      <c r="A7" s="20" t="s">
        <v>106</v>
      </c>
      <c r="E7" s="22">
        <f>SUM(C32:M32)</f>
        <v>1601708.21</v>
      </c>
      <c r="F7" s="134">
        <f>SUM(C25:M25)</f>
        <v>878280535.8326</v>
      </c>
      <c r="G7" s="22">
        <f>SUM(C18:L18)</f>
        <v>768383.13000000012</v>
      </c>
      <c r="H7" s="22">
        <f>G7-E7</f>
        <v>-833325.07999999984</v>
      </c>
      <c r="I7" s="22">
        <f>+B48</f>
        <v>539793.72999999986</v>
      </c>
      <c r="J7" s="22">
        <f>SUM(C56:L56)</f>
        <v>15368.69</v>
      </c>
      <c r="K7" s="25">
        <f>SUM(H7:J7)</f>
        <v>-278162.65999999997</v>
      </c>
      <c r="L7" s="47">
        <f t="shared" si="0"/>
        <v>0</v>
      </c>
    </row>
    <row r="8" spans="1:36" ht="15" thickBot="1" x14ac:dyDescent="0.4">
      <c r="A8" s="20" t="s">
        <v>107</v>
      </c>
      <c r="E8" s="22">
        <f>SUM(C33:M33)</f>
        <v>206180.85783979797</v>
      </c>
      <c r="F8" s="134">
        <f>SUM(C26:M26)</f>
        <v>237920961.87850001</v>
      </c>
      <c r="G8" s="22">
        <f>SUM(C19:L19)</f>
        <v>294888.0900000002</v>
      </c>
      <c r="H8" s="22">
        <f>G8-E8</f>
        <v>88707.232160202228</v>
      </c>
      <c r="I8" s="22">
        <f>+B49</f>
        <v>-47554.939999999311</v>
      </c>
      <c r="J8" s="22">
        <f>SUM(C57:L57)</f>
        <v>-3502.0299999999997</v>
      </c>
      <c r="K8" s="25">
        <f>SUM(H8:J8)</f>
        <v>37650.262160202918</v>
      </c>
      <c r="L8" s="47">
        <f>+K8-M49</f>
        <v>0</v>
      </c>
    </row>
    <row r="9" spans="1:36" ht="15.5" thickTop="1" thickBot="1" x14ac:dyDescent="0.4">
      <c r="E9" s="27">
        <f t="shared" ref="E9:I9" si="1">SUM(E4:E8)</f>
        <v>6318232.6599999992</v>
      </c>
      <c r="F9" s="27">
        <f t="shared" si="1"/>
        <v>3137704932.6826377</v>
      </c>
      <c r="G9" s="27">
        <f t="shared" si="1"/>
        <v>6188635.5199999996</v>
      </c>
      <c r="H9" s="27">
        <f t="shared" si="1"/>
        <v>-129597.1399999992</v>
      </c>
      <c r="I9" s="27">
        <f t="shared" si="1"/>
        <v>1528689.2500000007</v>
      </c>
      <c r="J9" s="27">
        <f>SUM(J4:J8)</f>
        <v>112174.06</v>
      </c>
      <c r="K9" s="27">
        <f>SUM(K4:K8)</f>
        <v>1511266.1700000018</v>
      </c>
    </row>
    <row r="10" spans="1:36" ht="15.5" thickTop="1" thickBot="1" x14ac:dyDescent="0.4"/>
    <row r="11" spans="1:36" ht="96.75" customHeight="1" thickBot="1" x14ac:dyDescent="0.4">
      <c r="B11" s="115" t="str">
        <f>+'PCR Cycle 2'!B14</f>
        <v>Cumulative Over/Under Carryover From 12/01/2023 Filing</v>
      </c>
      <c r="C11" s="267" t="str">
        <f>+'PCR Cycle 2'!C14</f>
        <v>Reverse November 2023 - January 2024 Forecast From 12/01/2023 Filing</v>
      </c>
      <c r="D11" s="267"/>
      <c r="E11" s="351" t="s">
        <v>32</v>
      </c>
      <c r="F11" s="351"/>
      <c r="G11" s="352"/>
      <c r="H11" s="353" t="s">
        <v>32</v>
      </c>
      <c r="I11" s="354"/>
      <c r="J11" s="355"/>
      <c r="K11" s="347" t="s">
        <v>8</v>
      </c>
      <c r="L11" s="348"/>
      <c r="M11" s="349"/>
      <c r="P11" s="290" t="s">
        <v>237</v>
      </c>
    </row>
    <row r="12" spans="1:36" x14ac:dyDescent="0.35">
      <c r="C12" s="14"/>
      <c r="D12" s="19"/>
      <c r="E12" s="19">
        <f>+'PCR Cycle 2'!E15</f>
        <v>45260</v>
      </c>
      <c r="F12" s="19">
        <f>+'PCR Cycle 2'!F15</f>
        <v>45291</v>
      </c>
      <c r="G12" s="19">
        <f>+'PCR Cycle 2'!G15</f>
        <v>45322</v>
      </c>
      <c r="H12" s="14">
        <f>+'PCR Cycle 2'!H15</f>
        <v>45351</v>
      </c>
      <c r="I12" s="19">
        <f>+'PCR Cycle 2'!I15</f>
        <v>45382</v>
      </c>
      <c r="J12" s="15">
        <f>+'PCR Cycle 2'!J15</f>
        <v>45412</v>
      </c>
      <c r="K12" s="19">
        <f>+'PCR Cycle 2'!K15</f>
        <v>45443</v>
      </c>
      <c r="L12" s="19">
        <f>+'PCR Cycle 2'!L15</f>
        <v>45473</v>
      </c>
      <c r="M12" s="95">
        <f>+'PCR Cycle 2'!M15</f>
        <v>45504</v>
      </c>
      <c r="AA12" s="1"/>
      <c r="AB12" s="1"/>
      <c r="AC12" s="1"/>
      <c r="AD12" s="1"/>
      <c r="AE12" s="1"/>
      <c r="AF12" s="1"/>
      <c r="AG12" s="1"/>
      <c r="AH12" s="1"/>
      <c r="AI12" s="1"/>
      <c r="AJ12" s="1"/>
    </row>
    <row r="13" spans="1:36" x14ac:dyDescent="0.35">
      <c r="C13" s="98"/>
      <c r="D13" s="257"/>
      <c r="E13" s="31"/>
      <c r="F13" s="31"/>
      <c r="G13" s="31"/>
      <c r="H13" s="28"/>
      <c r="I13" s="31"/>
      <c r="J13" s="11"/>
      <c r="K13" s="31"/>
      <c r="L13" s="31"/>
      <c r="M13" s="29"/>
      <c r="P13" s="47"/>
    </row>
    <row r="14" spans="1:36" x14ac:dyDescent="0.35">
      <c r="A14" s="46" t="s">
        <v>137</v>
      </c>
      <c r="C14" s="99"/>
      <c r="D14" s="147"/>
      <c r="E14" s="31"/>
      <c r="F14" s="31"/>
      <c r="G14" s="31"/>
      <c r="H14" s="28"/>
      <c r="I14" s="31"/>
      <c r="J14" s="163"/>
      <c r="K14" s="17"/>
      <c r="L14" s="17"/>
      <c r="M14" s="11"/>
      <c r="P14" s="47"/>
    </row>
    <row r="15" spans="1:36" x14ac:dyDescent="0.35">
      <c r="A15" s="46" t="s">
        <v>24</v>
      </c>
      <c r="C15" s="97">
        <v>-1715868.98</v>
      </c>
      <c r="D15" s="256"/>
      <c r="E15" s="109">
        <f>'[6]Pivot - SI Project'!$N$42</f>
        <v>884721.28</v>
      </c>
      <c r="F15" s="109">
        <f>'[7]Pivot - SI Project'!$N$27</f>
        <v>1359824.65</v>
      </c>
      <c r="G15" s="109">
        <f>'[8]Pivot - SI Project'!$N$27</f>
        <v>406971.64</v>
      </c>
      <c r="H15" s="297">
        <f>'[9]Pivot - SI Project'!$N$27</f>
        <v>228830.52000000002</v>
      </c>
      <c r="I15" s="298">
        <f>'[10]Pivot - SI Project'!$N$27</f>
        <v>390277.96</v>
      </c>
      <c r="J15" s="299">
        <f>'[11]Pivot - SI Project'!$N$32</f>
        <v>516649.91000000003</v>
      </c>
      <c r="K15" s="300">
        <f>ROUND(SUM('[2]Monthly Program Costs Ext'!BH301),2)</f>
        <v>610042.31000000006</v>
      </c>
      <c r="L15" s="136">
        <f>ROUND(SUM('[2]Monthly Program Costs Ext'!BI301),2)</f>
        <v>704515.46</v>
      </c>
      <c r="M15" s="76"/>
      <c r="P15" s="47">
        <f>-SUM(K15:M15)</f>
        <v>-1314557.77</v>
      </c>
    </row>
    <row r="16" spans="1:36" x14ac:dyDescent="0.35">
      <c r="A16" s="46" t="s">
        <v>104</v>
      </c>
      <c r="C16" s="97">
        <v>-296125.76</v>
      </c>
      <c r="D16" s="256"/>
      <c r="E16" s="109">
        <f>'[6]Pivot - SI Project'!$O$42</f>
        <v>61726.93</v>
      </c>
      <c r="F16" s="109">
        <f>'[7]Pivot - SI Project'!$O$27</f>
        <v>62938.399999999994</v>
      </c>
      <c r="G16" s="109">
        <f>'[8]Pivot - SI Project'!$O$27</f>
        <v>85554.78</v>
      </c>
      <c r="H16" s="297">
        <f>'[9]Pivot - SI Project'!$O$27</f>
        <v>11351.3</v>
      </c>
      <c r="I16" s="298">
        <f>'[10]Pivot - SI Project'!$O$27</f>
        <v>170844.11000000002</v>
      </c>
      <c r="J16" s="299">
        <f>'[11]Pivot - SI Project'!$O$32</f>
        <v>-101252.55999999998</v>
      </c>
      <c r="K16" s="300">
        <f>ROUND(SUM('[2]Monthly Program Costs Ext'!BH302),2)</f>
        <v>89780.57</v>
      </c>
      <c r="L16" s="136">
        <f>ROUND(SUM('[2]Monthly Program Costs Ext'!BI302),2)</f>
        <v>50654.8</v>
      </c>
      <c r="M16" s="76"/>
      <c r="P16" s="47">
        <f t="shared" ref="P16:P19" si="2">-SUM(K16:M16)</f>
        <v>-140435.37</v>
      </c>
      <c r="Q16" s="254">
        <f>SUM(E16:J16)/SUM($E$16:$J$19)</f>
        <v>8.0636520206726042E-2</v>
      </c>
    </row>
    <row r="17" spans="1:17" x14ac:dyDescent="0.35">
      <c r="A17" s="46" t="s">
        <v>105</v>
      </c>
      <c r="C17" s="97">
        <v>-594109.40999999992</v>
      </c>
      <c r="D17" s="256"/>
      <c r="E17" s="109">
        <f>'[6]Pivot - SI Project'!$P$42</f>
        <v>-44786.990000000005</v>
      </c>
      <c r="F17" s="109">
        <f>'[7]Pivot - SI Project'!$P$27</f>
        <v>1455962.23</v>
      </c>
      <c r="G17" s="109">
        <f>'[8]Pivot - SI Project'!$P$27</f>
        <v>383998.52999999997</v>
      </c>
      <c r="H17" s="297">
        <f>'[9]Pivot - SI Project'!$P$27</f>
        <v>22773.809999999998</v>
      </c>
      <c r="I17" s="298">
        <f>'[10]Pivot - SI Project'!$P$27</f>
        <v>1120484.02</v>
      </c>
      <c r="J17" s="299">
        <f>'[11]Pivot - SI Project'!$P$32</f>
        <v>-1051115.8700000001</v>
      </c>
      <c r="K17" s="300">
        <f>ROUND(SUM('[2]Monthly Program Costs Ext'!BH303),2)</f>
        <v>199669.16</v>
      </c>
      <c r="L17" s="136">
        <f>ROUND(SUM('[2]Monthly Program Costs Ext'!BI303),2)</f>
        <v>111051.5</v>
      </c>
      <c r="M17" s="76"/>
      <c r="P17" s="47">
        <f t="shared" si="2"/>
        <v>-310720.66000000003</v>
      </c>
      <c r="Q17" s="254">
        <f t="shared" ref="Q17:Q19" si="3">SUM(E17:J17)/SUM($E$16:$J$19)</f>
        <v>0.52268521036678872</v>
      </c>
    </row>
    <row r="18" spans="1:17" x14ac:dyDescent="0.35">
      <c r="A18" s="46" t="s">
        <v>106</v>
      </c>
      <c r="C18" s="97">
        <v>-945234.41999999993</v>
      </c>
      <c r="D18" s="256"/>
      <c r="E18" s="109">
        <f>'[6]Pivot - SI Project'!$Q$42</f>
        <v>729489.37</v>
      </c>
      <c r="F18" s="109">
        <f>'[7]Pivot - SI Project'!$Q$27</f>
        <v>288455.45</v>
      </c>
      <c r="G18" s="109">
        <f>'[8]Pivot - SI Project'!$Q$27</f>
        <v>105206.65000000001</v>
      </c>
      <c r="H18" s="297">
        <f>'[9]Pivot - SI Project'!$Q$27</f>
        <v>36233.369999999995</v>
      </c>
      <c r="I18" s="298">
        <f>'[10]Pivot - SI Project'!$Q$27</f>
        <v>160530.61000000002</v>
      </c>
      <c r="J18" s="299">
        <f>'[11]Pivot - SI Project'!$Q$32</f>
        <v>-112505.70999999999</v>
      </c>
      <c r="K18" s="300">
        <f>ROUND(SUM('[2]Monthly Program Costs Ext'!BH304),2)</f>
        <v>325669.34999999998</v>
      </c>
      <c r="L18" s="136">
        <f>ROUND(SUM('[2]Monthly Program Costs Ext'!BI304),2)</f>
        <v>180538.46</v>
      </c>
      <c r="M18" s="76"/>
      <c r="P18" s="47">
        <f t="shared" si="2"/>
        <v>-506207.80999999994</v>
      </c>
      <c r="Q18" s="254">
        <f t="shared" si="3"/>
        <v>0.33438772533878564</v>
      </c>
    </row>
    <row r="19" spans="1:17" x14ac:dyDescent="0.35">
      <c r="A19" s="46" t="s">
        <v>107</v>
      </c>
      <c r="C19" s="97">
        <v>-252612.17</v>
      </c>
      <c r="D19" s="256"/>
      <c r="E19" s="109">
        <f>'[6]Pivot - SI Project'!$R$42</f>
        <v>126099.14999999979</v>
      </c>
      <c r="F19" s="109">
        <f>'[7]Pivot - SI Project'!$R$27</f>
        <v>18733.79</v>
      </c>
      <c r="G19" s="109">
        <f>'[8]Pivot - SI Project'!$R$27</f>
        <v>49989.780000000057</v>
      </c>
      <c r="H19" s="297">
        <f>'[9]Pivot - SI Project'!$R$27</f>
        <v>9683.2799999999352</v>
      </c>
      <c r="I19" s="298">
        <f>'[10]Pivot - SI Project'!$R$27</f>
        <v>7601.419999999961</v>
      </c>
      <c r="J19" s="299">
        <f>'[11]Pivot - SI Project'!$R$32</f>
        <v>12811.750000000426</v>
      </c>
      <c r="K19" s="300">
        <f>ROUND(SUM('[2]Monthly Program Costs Ext'!BH305),2)</f>
        <v>213401.1</v>
      </c>
      <c r="L19" s="136">
        <f>ROUND(SUM('[2]Monthly Program Costs Ext'!BI305),2)</f>
        <v>109179.99</v>
      </c>
      <c r="M19" s="76"/>
      <c r="P19" s="47">
        <f t="shared" si="2"/>
        <v>-322581.09000000003</v>
      </c>
      <c r="Q19" s="254">
        <f t="shared" si="3"/>
        <v>6.2290544087699427E-2</v>
      </c>
    </row>
    <row r="20" spans="1:17" x14ac:dyDescent="0.35">
      <c r="C20" s="101"/>
      <c r="D20" s="258"/>
      <c r="E20" s="31"/>
      <c r="F20" s="31"/>
      <c r="G20" s="31"/>
      <c r="H20" s="28"/>
      <c r="I20" s="31"/>
      <c r="J20" s="11"/>
      <c r="K20" s="17"/>
      <c r="L20" s="17"/>
      <c r="M20" s="11"/>
    </row>
    <row r="21" spans="1:17" x14ac:dyDescent="0.35">
      <c r="A21" s="39" t="s">
        <v>46</v>
      </c>
      <c r="B21" s="39"/>
      <c r="C21" s="101"/>
      <c r="D21" s="258"/>
      <c r="E21" s="31"/>
      <c r="F21" s="31"/>
      <c r="G21" s="31"/>
      <c r="H21" s="28"/>
      <c r="I21" s="31"/>
      <c r="J21" s="11"/>
      <c r="K21" s="17"/>
      <c r="L21" s="17"/>
      <c r="M21" s="11"/>
    </row>
    <row r="22" spans="1:17" x14ac:dyDescent="0.35">
      <c r="A22" s="46" t="s">
        <v>24</v>
      </c>
      <c r="C22" s="102">
        <v>-676072216</v>
      </c>
      <c r="D22" s="259"/>
      <c r="E22" s="111">
        <f>+'PCR Cycle 2'!E27</f>
        <v>155241168.3564125</v>
      </c>
      <c r="F22" s="111">
        <f>+'PCR Cycle 2'!F27</f>
        <v>202050419.06756249</v>
      </c>
      <c r="G22" s="111">
        <f>+'PCR Cycle 2'!G27</f>
        <v>257167515.23965001</v>
      </c>
      <c r="H22" s="182">
        <f>+'PCR Cycle 2'!H27</f>
        <v>247652473.08416262</v>
      </c>
      <c r="I22" s="185">
        <f>+'PCR Cycle 2'!I27</f>
        <v>171250990.72272497</v>
      </c>
      <c r="J22" s="177">
        <f>+'PCR Cycle 2'!J27</f>
        <v>157128474.25852495</v>
      </c>
      <c r="K22" s="173">
        <f>+'PCR Cycle 2'!K27</f>
        <v>157146285</v>
      </c>
      <c r="L22" s="137">
        <f>+'PCR Cycle 2'!L27</f>
        <v>202628383</v>
      </c>
      <c r="M22" s="77">
        <f>+'PCR Cycle 2'!M27</f>
        <v>297583683</v>
      </c>
      <c r="P22" s="47">
        <f>-SUM(K22:M22)</f>
        <v>-657358351</v>
      </c>
    </row>
    <row r="23" spans="1:17" x14ac:dyDescent="0.35">
      <c r="A23" s="46" t="s">
        <v>104</v>
      </c>
      <c r="C23" s="102">
        <v>-148201378</v>
      </c>
      <c r="D23" s="259"/>
      <c r="E23" s="111">
        <f>+'PCR Cycle 2'!E28</f>
        <v>44567265.7064</v>
      </c>
      <c r="F23" s="111">
        <f>+'PCR Cycle 2'!F28</f>
        <v>51788123.92180001</v>
      </c>
      <c r="G23" s="111">
        <f>+'PCR Cycle 2'!G28</f>
        <v>60441166.459300019</v>
      </c>
      <c r="H23" s="182">
        <f>+'PCR Cycle 2'!H28</f>
        <v>57527078.69380001</v>
      </c>
      <c r="I23" s="185">
        <f>+'PCR Cycle 2'!I28</f>
        <v>47802395.452800006</v>
      </c>
      <c r="J23" s="177">
        <f>+'PCR Cycle 2'!J28</f>
        <v>45212580.2443</v>
      </c>
      <c r="K23" s="173">
        <f>+'PCR Cycle 2'!K28</f>
        <v>48764650</v>
      </c>
      <c r="L23" s="137">
        <f>+'PCR Cycle 2'!L28</f>
        <v>53736307</v>
      </c>
      <c r="M23" s="77">
        <f>+'PCR Cycle 2'!M28</f>
        <v>60286284</v>
      </c>
      <c r="P23" s="47">
        <f t="shared" ref="P23:P26" si="4">-SUM(K23:M23)</f>
        <v>-162787241</v>
      </c>
    </row>
    <row r="24" spans="1:17" x14ac:dyDescent="0.35">
      <c r="A24" s="46" t="s">
        <v>105</v>
      </c>
      <c r="C24" s="102">
        <v>-272511437</v>
      </c>
      <c r="D24" s="259"/>
      <c r="E24" s="111">
        <f>+'PCR Cycle 2'!E29</f>
        <v>78644128.894500002</v>
      </c>
      <c r="F24" s="111">
        <f>+'PCR Cycle 2'!F29</f>
        <v>86933811.091499984</v>
      </c>
      <c r="G24" s="111">
        <f>+'PCR Cycle 2'!G29</f>
        <v>97086604.63699998</v>
      </c>
      <c r="H24" s="182">
        <f>+'PCR Cycle 2'!H29</f>
        <v>95284044.212800011</v>
      </c>
      <c r="I24" s="185">
        <f>+'PCR Cycle 2'!I29</f>
        <v>79842023.754800022</v>
      </c>
      <c r="J24" s="177">
        <f>+'PCR Cycle 2'!J29</f>
        <v>76287525.173500001</v>
      </c>
      <c r="K24" s="173">
        <f>+'PCR Cycle 2'!K29</f>
        <v>85744765</v>
      </c>
      <c r="L24" s="137">
        <f>+'PCR Cycle 2'!L29</f>
        <v>94486622</v>
      </c>
      <c r="M24" s="77">
        <f>+'PCR Cycle 2'!M29</f>
        <v>106003698</v>
      </c>
      <c r="P24" s="47">
        <f t="shared" si="4"/>
        <v>-286235085</v>
      </c>
    </row>
    <row r="25" spans="1:17" x14ac:dyDescent="0.35">
      <c r="A25" s="46" t="s">
        <v>106</v>
      </c>
      <c r="C25" s="102">
        <v>-441151256</v>
      </c>
      <c r="D25" s="259"/>
      <c r="E25" s="111">
        <f>+'PCR Cycle 2'!E30</f>
        <v>131554682.84800003</v>
      </c>
      <c r="F25" s="111">
        <f>+'PCR Cycle 2'!F30</f>
        <v>144800014.82299998</v>
      </c>
      <c r="G25" s="111">
        <f>+'PCR Cycle 2'!G30</f>
        <v>156884700.16639999</v>
      </c>
      <c r="H25" s="182">
        <f>+'PCR Cycle 2'!H30</f>
        <v>154531222.60309997</v>
      </c>
      <c r="I25" s="185">
        <f>+'PCR Cycle 2'!I30</f>
        <v>141517589.9102</v>
      </c>
      <c r="J25" s="177">
        <f>+'PCR Cycle 2'!J30</f>
        <v>135123825.48190001</v>
      </c>
      <c r="K25" s="173">
        <f>+'PCR Cycle 2'!K30</f>
        <v>136306009</v>
      </c>
      <c r="L25" s="137">
        <f>+'PCR Cycle 2'!L30</f>
        <v>150202690</v>
      </c>
      <c r="M25" s="77">
        <f>+'PCR Cycle 2'!M30</f>
        <v>168511057</v>
      </c>
      <c r="P25" s="47">
        <f t="shared" si="4"/>
        <v>-455019756</v>
      </c>
    </row>
    <row r="26" spans="1:17" x14ac:dyDescent="0.35">
      <c r="A26" s="46" t="s">
        <v>107</v>
      </c>
      <c r="C26" s="102">
        <v>-114740108</v>
      </c>
      <c r="D26" s="259"/>
      <c r="E26" s="111">
        <f>+'PCR Cycle 2'!E31</f>
        <v>39877867.000700004</v>
      </c>
      <c r="F26" s="111">
        <f>+'PCR Cycle 2'!F31</f>
        <v>39912965.195199996</v>
      </c>
      <c r="G26" s="111">
        <f>+'PCR Cycle 2'!G31</f>
        <v>41702932.816799998</v>
      </c>
      <c r="H26" s="182">
        <f>+'PCR Cycle 2'!H31</f>
        <v>39026709.45700001</v>
      </c>
      <c r="I26" s="185">
        <f>+'PCR Cycle 2'!I31</f>
        <v>35707943.593199998</v>
      </c>
      <c r="J26" s="177">
        <f>+'PCR Cycle 2'!J31</f>
        <v>35543138.8156</v>
      </c>
      <c r="K26" s="173">
        <f>+'PCR Cycle 2'!K31</f>
        <v>36213740</v>
      </c>
      <c r="L26" s="137">
        <f>+'PCR Cycle 2'!L31</f>
        <v>39905806</v>
      </c>
      <c r="M26" s="77">
        <f>+'PCR Cycle 2'!M31</f>
        <v>44769967</v>
      </c>
      <c r="P26" s="47">
        <f t="shared" si="4"/>
        <v>-120889513</v>
      </c>
    </row>
    <row r="27" spans="1:17" x14ac:dyDescent="0.35">
      <c r="C27" s="99"/>
      <c r="D27" s="147"/>
      <c r="E27" s="31"/>
      <c r="F27" s="31"/>
      <c r="G27" s="31"/>
      <c r="H27" s="28"/>
      <c r="I27" s="31"/>
      <c r="J27" s="11"/>
      <c r="K27" s="17"/>
      <c r="L27" s="17"/>
      <c r="M27" s="11"/>
    </row>
    <row r="28" spans="1:17" x14ac:dyDescent="0.35">
      <c r="A28" s="46" t="s">
        <v>33</v>
      </c>
      <c r="C28" s="99"/>
      <c r="D28" s="147"/>
      <c r="E28" s="18"/>
      <c r="F28" s="18"/>
      <c r="G28" s="18"/>
      <c r="H28" s="91"/>
      <c r="I28" s="18"/>
      <c r="J28" s="11"/>
      <c r="K28" s="57"/>
      <c r="L28" s="57"/>
      <c r="M28" s="58"/>
      <c r="N28" s="63" t="s">
        <v>49</v>
      </c>
      <c r="O28" s="39"/>
      <c r="P28" s="39"/>
    </row>
    <row r="29" spans="1:17" x14ac:dyDescent="0.35">
      <c r="A29" s="46" t="s">
        <v>24</v>
      </c>
      <c r="C29" s="97">
        <v>-649029.33000000007</v>
      </c>
      <c r="D29" s="256"/>
      <c r="E29" s="109">
        <f>'[4]November 2023'!$G88+'[4]November 2023'!$G96</f>
        <v>149048.06</v>
      </c>
      <c r="F29" s="109">
        <f>'[4]December 2023'!$G88+'[4]December 2023'!$G96</f>
        <v>194012.05000000005</v>
      </c>
      <c r="G29" s="109">
        <f>'[4]January 2024'!$G88+'[4]January 2024'!$G96</f>
        <v>247232.46000000002</v>
      </c>
      <c r="H29" s="183">
        <f>'[4]February 2024'!$G88+'[4]February 2024'!$G96</f>
        <v>364179.85000000003</v>
      </c>
      <c r="I29" s="55">
        <f>'[4]March 2024'!$G88+'[4]March 2024'!$G96</f>
        <v>460720.47</v>
      </c>
      <c r="J29" s="175">
        <f>'[4]April 2024'!$G88+'[4]April 2024'!$G96</f>
        <v>424136.34</v>
      </c>
      <c r="K29" s="120">
        <f>ROUND(K22*$N29,2)</f>
        <v>424294.97</v>
      </c>
      <c r="L29" s="41">
        <f t="shared" ref="L29:M29" si="5">ROUND(L22*$N29,2)</f>
        <v>547096.63</v>
      </c>
      <c r="M29" s="61">
        <f t="shared" si="5"/>
        <v>803475.94</v>
      </c>
      <c r="N29" s="72">
        <v>2.6999999999999997E-3</v>
      </c>
      <c r="P29" s="47">
        <f>-SUM(K29:M29)</f>
        <v>-1774867.54</v>
      </c>
    </row>
    <row r="30" spans="1:17" x14ac:dyDescent="0.35">
      <c r="A30" s="46" t="s">
        <v>104</v>
      </c>
      <c r="C30" s="97">
        <v>-143755.34</v>
      </c>
      <c r="D30" s="256"/>
      <c r="E30" s="109">
        <f>'[4]November 2023'!$G89+'[4]November 2023'!$G97</f>
        <v>43215.46</v>
      </c>
      <c r="F30" s="109">
        <f>'[4]December 2023'!$G89+'[4]December 2023'!$G97</f>
        <v>50225.200000000004</v>
      </c>
      <c r="G30" s="109">
        <f>'[4]January 2024'!$G89+'[4]January 2024'!$G97</f>
        <v>58711.16</v>
      </c>
      <c r="H30" s="183">
        <f>'[4]February 2024'!$G89+'[4]February 2024'!$G97</f>
        <v>61437.76216020203</v>
      </c>
      <c r="I30" s="55">
        <f>'[4]March 2024'!$G89+'[4]March 2024'!$G97</f>
        <v>61120.3</v>
      </c>
      <c r="J30" s="175">
        <f>'[4]April 2024'!$G89+'[4]April 2024'!$G97</f>
        <v>57856.07</v>
      </c>
      <c r="K30" s="120">
        <f t="shared" ref="K30:M30" si="6">ROUND(K23*$N30,2)</f>
        <v>62418.75</v>
      </c>
      <c r="L30" s="41">
        <f t="shared" si="6"/>
        <v>68782.47</v>
      </c>
      <c r="M30" s="61">
        <f t="shared" si="6"/>
        <v>77166.44</v>
      </c>
      <c r="N30" s="72">
        <v>1.2799999999999999E-3</v>
      </c>
      <c r="P30" s="47">
        <f t="shared" ref="P30:P33" si="7">-SUM(K30:M30)</f>
        <v>-208367.66</v>
      </c>
    </row>
    <row r="31" spans="1:17" x14ac:dyDescent="0.35">
      <c r="A31" s="46" t="s">
        <v>105</v>
      </c>
      <c r="C31" s="97">
        <v>-275236.55000000005</v>
      </c>
      <c r="D31" s="256"/>
      <c r="E31" s="109">
        <f>'[4]November 2023'!$G90+'[4]November 2023'!$G98</f>
        <v>79430.569999999992</v>
      </c>
      <c r="F31" s="109">
        <f>'[4]December 2023'!$G90+'[4]December 2023'!$G98</f>
        <v>87803.15</v>
      </c>
      <c r="G31" s="109">
        <f>'[4]January 2024'!$G90+'[4]January 2024'!$G98</f>
        <v>98057.47</v>
      </c>
      <c r="H31" s="183">
        <f>'[4]February 2024'!$G90+'[4]February 2024'!$G98</f>
        <v>132118.9</v>
      </c>
      <c r="I31" s="55">
        <f>'[4]March 2024'!$G90+'[4]March 2024'!$G98</f>
        <v>184766.94</v>
      </c>
      <c r="J31" s="175">
        <f>'[4]April 2024'!$G90+'[4]April 2024'!$G98</f>
        <v>176992.00999999998</v>
      </c>
      <c r="K31" s="120">
        <f t="shared" ref="K31:M31" si="8">ROUND(K24*$N31,2)</f>
        <v>198927.85</v>
      </c>
      <c r="L31" s="41">
        <f t="shared" si="8"/>
        <v>219208.95999999999</v>
      </c>
      <c r="M31" s="61">
        <f t="shared" si="8"/>
        <v>245928.58</v>
      </c>
      <c r="N31" s="72">
        <v>2.32E-3</v>
      </c>
      <c r="P31" s="47">
        <f t="shared" si="7"/>
        <v>-664065.39</v>
      </c>
    </row>
    <row r="32" spans="1:17" x14ac:dyDescent="0.35">
      <c r="A32" s="46" t="s">
        <v>106</v>
      </c>
      <c r="C32" s="97">
        <v>-326451.93000000005</v>
      </c>
      <c r="D32" s="256"/>
      <c r="E32" s="109">
        <f>'[4]November 2023'!$G91+'[4]November 2023'!$G99</f>
        <v>97350.46</v>
      </c>
      <c r="F32" s="109">
        <f>'[4]December 2023'!$G91+'[4]December 2023'!$G99</f>
        <v>107152.00999999998</v>
      </c>
      <c r="G32" s="109">
        <f>'[4]January 2024'!$G91+'[4]January 2024'!$G99</f>
        <v>116094.67000000001</v>
      </c>
      <c r="H32" s="183">
        <f>'[4]February 2024'!$G91+'[4]February 2024'!$G99</f>
        <v>175710.44999999998</v>
      </c>
      <c r="I32" s="55">
        <f>'[4]March 2024'!$G91+'[4]March 2024'!$G99</f>
        <v>275167.89</v>
      </c>
      <c r="J32" s="175">
        <f>'[4]April 2024'!$G91+'[4]April 2024'!$G99</f>
        <v>264845.94</v>
      </c>
      <c r="K32" s="120">
        <f t="shared" ref="K32:M32" si="9">ROUND(K25*$N32,2)</f>
        <v>267159.78000000003</v>
      </c>
      <c r="L32" s="41">
        <f t="shared" si="9"/>
        <v>294397.27</v>
      </c>
      <c r="M32" s="61">
        <f t="shared" si="9"/>
        <v>330281.67</v>
      </c>
      <c r="N32" s="72">
        <v>1.9599999999999999E-3</v>
      </c>
      <c r="P32" s="47">
        <f t="shared" si="7"/>
        <v>-891838.72</v>
      </c>
    </row>
    <row r="33" spans="1:16" x14ac:dyDescent="0.35">
      <c r="A33" s="46" t="s">
        <v>107</v>
      </c>
      <c r="C33" s="97">
        <v>-11474.01</v>
      </c>
      <c r="D33" s="256"/>
      <c r="E33" s="109">
        <f>'[4]November 2023'!$G92+'[4]November 2023'!$G100</f>
        <v>3987.7900000000009</v>
      </c>
      <c r="F33" s="109">
        <f>'[4]December 2023'!$G92+'[4]December 2023'!$G100</f>
        <v>3991.2999999999956</v>
      </c>
      <c r="G33" s="109">
        <f>'[4]January 2024'!$G92+'[4]January 2024'!$G100</f>
        <v>4170.2900000000009</v>
      </c>
      <c r="H33" s="183">
        <f>'[4]February 2024'!$G92+'[4]February 2024'!$G100</f>
        <v>31037.917839797963</v>
      </c>
      <c r="I33" s="55">
        <f>'[4]March 2024'!$G92+'[4]March 2024'!$G100</f>
        <v>32170.379999999997</v>
      </c>
      <c r="J33" s="175">
        <f>'[4]April 2024'!$G92+'[4]April 2024'!$G100</f>
        <v>32287.739999999998</v>
      </c>
      <c r="K33" s="120">
        <f>ROUND(K26*$N33,2)</f>
        <v>32954.5</v>
      </c>
      <c r="L33" s="41">
        <f>ROUND(L26*$N33,2)</f>
        <v>36314.28</v>
      </c>
      <c r="M33" s="61">
        <f>ROUND(M26*$N33,2)</f>
        <v>40740.67</v>
      </c>
      <c r="N33" s="72">
        <v>9.1E-4</v>
      </c>
      <c r="P33" s="47">
        <f t="shared" si="7"/>
        <v>-110009.45</v>
      </c>
    </row>
    <row r="34" spans="1:16" x14ac:dyDescent="0.35">
      <c r="C34" s="67"/>
      <c r="D34" s="68"/>
      <c r="E34" s="18"/>
      <c r="F34" s="18"/>
      <c r="G34" s="18"/>
      <c r="H34" s="91"/>
      <c r="I34" s="18"/>
      <c r="J34" s="11"/>
      <c r="K34" s="56"/>
      <c r="L34" s="56"/>
      <c r="M34" s="13"/>
      <c r="N34" s="4"/>
    </row>
    <row r="35" spans="1:16" ht="15" thickBot="1" x14ac:dyDescent="0.4">
      <c r="A35" s="46" t="s">
        <v>14</v>
      </c>
      <c r="C35" s="103">
        <v>-6091.6100000000006</v>
      </c>
      <c r="D35" s="260"/>
      <c r="E35" s="112">
        <v>-982.52</v>
      </c>
      <c r="F35" s="112">
        <v>10305.100000000002</v>
      </c>
      <c r="G35" s="113">
        <v>19219.419999999998</v>
      </c>
      <c r="H35" s="26">
        <v>19419.13</v>
      </c>
      <c r="I35" s="119">
        <v>20573.62</v>
      </c>
      <c r="J35" s="176">
        <v>18331.920000000002</v>
      </c>
      <c r="K35" s="174">
        <f>ROUND((SUM(J45:J49)+SUM(J53:J57)+SUM(K38:K42)/2)*K$51,2)</f>
        <v>15054.64</v>
      </c>
      <c r="L35" s="138">
        <f>ROUND((SUM(K45:K49)+SUM(K53:K57)+SUM(L38:L42)/2)*L$51,2)</f>
        <v>16344.38</v>
      </c>
      <c r="M35" s="81"/>
      <c r="P35" s="47">
        <f t="shared" ref="P35" si="10">-SUM(K35:M35)</f>
        <v>-31399.019999999997</v>
      </c>
    </row>
    <row r="36" spans="1:16" x14ac:dyDescent="0.35">
      <c r="C36" s="99"/>
      <c r="D36" s="147"/>
      <c r="E36" s="31"/>
      <c r="F36" s="31"/>
      <c r="G36" s="31"/>
      <c r="H36" s="28"/>
      <c r="I36" s="31"/>
      <c r="J36" s="11"/>
      <c r="K36" s="17"/>
      <c r="L36" s="17"/>
      <c r="M36" s="11"/>
    </row>
    <row r="37" spans="1:16" x14ac:dyDescent="0.35">
      <c r="A37" s="46" t="s">
        <v>51</v>
      </c>
      <c r="C37" s="99"/>
      <c r="D37" s="147"/>
      <c r="E37" s="31"/>
      <c r="F37" s="31"/>
      <c r="G37" s="31"/>
      <c r="H37" s="28"/>
      <c r="I37" s="31"/>
      <c r="J37" s="11"/>
      <c r="K37" s="17"/>
      <c r="L37" s="17"/>
      <c r="M37" s="11"/>
    </row>
    <row r="38" spans="1:16" x14ac:dyDescent="0.35">
      <c r="A38" s="46" t="s">
        <v>24</v>
      </c>
      <c r="C38" s="40">
        <f t="shared" ref="C38:M38" si="11">C15-C29</f>
        <v>-1066839.6499999999</v>
      </c>
      <c r="D38" s="120">
        <f t="shared" ref="D38" si="12">D15-D29</f>
        <v>0</v>
      </c>
      <c r="E38" s="41">
        <f t="shared" si="11"/>
        <v>735673.22</v>
      </c>
      <c r="F38" s="41">
        <f t="shared" si="11"/>
        <v>1165812.5999999999</v>
      </c>
      <c r="G38" s="108">
        <f t="shared" si="11"/>
        <v>159739.18</v>
      </c>
      <c r="H38" s="40">
        <f t="shared" si="11"/>
        <v>-135349.33000000002</v>
      </c>
      <c r="I38" s="41">
        <f t="shared" si="11"/>
        <v>-70442.509999999951</v>
      </c>
      <c r="J38" s="61">
        <f t="shared" si="11"/>
        <v>92513.57</v>
      </c>
      <c r="K38" s="120">
        <f t="shared" si="11"/>
        <v>185747.34000000008</v>
      </c>
      <c r="L38" s="41">
        <f t="shared" si="11"/>
        <v>157418.82999999996</v>
      </c>
      <c r="M38" s="49">
        <f t="shared" si="11"/>
        <v>-803475.94</v>
      </c>
    </row>
    <row r="39" spans="1:16" x14ac:dyDescent="0.35">
      <c r="A39" s="46" t="s">
        <v>104</v>
      </c>
      <c r="C39" s="40">
        <f t="shared" ref="C39:M39" si="13">C16-C30</f>
        <v>-152370.42000000001</v>
      </c>
      <c r="D39" s="120">
        <f t="shared" ref="D39" si="14">D16-D30</f>
        <v>0</v>
      </c>
      <c r="E39" s="41">
        <f t="shared" si="13"/>
        <v>18511.47</v>
      </c>
      <c r="F39" s="41">
        <f t="shared" si="13"/>
        <v>12713.19999999999</v>
      </c>
      <c r="G39" s="108">
        <f t="shared" si="13"/>
        <v>26843.619999999995</v>
      </c>
      <c r="H39" s="40">
        <f t="shared" si="13"/>
        <v>-50086.462160202034</v>
      </c>
      <c r="I39" s="41">
        <f t="shared" si="13"/>
        <v>109723.81000000001</v>
      </c>
      <c r="J39" s="61">
        <f t="shared" si="13"/>
        <v>-159108.62999999998</v>
      </c>
      <c r="K39" s="120">
        <f t="shared" si="13"/>
        <v>27361.820000000007</v>
      </c>
      <c r="L39" s="41">
        <f t="shared" si="13"/>
        <v>-18127.669999999998</v>
      </c>
      <c r="M39" s="49">
        <f t="shared" si="13"/>
        <v>-77166.44</v>
      </c>
    </row>
    <row r="40" spans="1:16" x14ac:dyDescent="0.35">
      <c r="A40" s="46" t="s">
        <v>105</v>
      </c>
      <c r="C40" s="40">
        <f t="shared" ref="C40:M40" si="15">C17-C31</f>
        <v>-318872.85999999987</v>
      </c>
      <c r="D40" s="120">
        <f t="shared" ref="D40" si="16">D17-D31</f>
        <v>0</v>
      </c>
      <c r="E40" s="41">
        <f t="shared" si="15"/>
        <v>-124217.56</v>
      </c>
      <c r="F40" s="41">
        <f t="shared" si="15"/>
        <v>1368159.08</v>
      </c>
      <c r="G40" s="108">
        <f t="shared" si="15"/>
        <v>285941.05999999994</v>
      </c>
      <c r="H40" s="40">
        <f t="shared" si="15"/>
        <v>-109345.09</v>
      </c>
      <c r="I40" s="41">
        <f t="shared" si="15"/>
        <v>935717.08000000007</v>
      </c>
      <c r="J40" s="61">
        <f t="shared" si="15"/>
        <v>-1228107.8800000001</v>
      </c>
      <c r="K40" s="120">
        <f t="shared" si="15"/>
        <v>741.30999999999767</v>
      </c>
      <c r="L40" s="41">
        <f t="shared" si="15"/>
        <v>-108157.45999999999</v>
      </c>
      <c r="M40" s="49">
        <f t="shared" si="15"/>
        <v>-245928.58</v>
      </c>
    </row>
    <row r="41" spans="1:16" x14ac:dyDescent="0.35">
      <c r="A41" s="46" t="s">
        <v>106</v>
      </c>
      <c r="C41" s="40">
        <f t="shared" ref="C41:M41" si="17">C18-C32</f>
        <v>-618782.48999999987</v>
      </c>
      <c r="D41" s="120">
        <f t="shared" ref="D41" si="18">D18-D32</f>
        <v>0</v>
      </c>
      <c r="E41" s="41">
        <f t="shared" si="17"/>
        <v>632138.91</v>
      </c>
      <c r="F41" s="41">
        <f t="shared" si="17"/>
        <v>181303.44000000003</v>
      </c>
      <c r="G41" s="108">
        <f t="shared" si="17"/>
        <v>-10888.020000000004</v>
      </c>
      <c r="H41" s="40">
        <f t="shared" si="17"/>
        <v>-139477.07999999999</v>
      </c>
      <c r="I41" s="41">
        <f t="shared" si="17"/>
        <v>-114637.28</v>
      </c>
      <c r="J41" s="61">
        <f t="shared" si="17"/>
        <v>-377351.65</v>
      </c>
      <c r="K41" s="120">
        <f t="shared" si="17"/>
        <v>58509.569999999949</v>
      </c>
      <c r="L41" s="41">
        <f t="shared" si="17"/>
        <v>-113858.81000000003</v>
      </c>
      <c r="M41" s="49">
        <f t="shared" si="17"/>
        <v>-330281.67</v>
      </c>
    </row>
    <row r="42" spans="1:16" x14ac:dyDescent="0.35">
      <c r="A42" s="46" t="s">
        <v>107</v>
      </c>
      <c r="C42" s="40">
        <f t="shared" ref="C42:M42" si="19">C19-C33</f>
        <v>-241138.16</v>
      </c>
      <c r="D42" s="120">
        <f t="shared" ref="D42" si="20">D19-D33</f>
        <v>0</v>
      </c>
      <c r="E42" s="41">
        <f t="shared" si="19"/>
        <v>122111.35999999978</v>
      </c>
      <c r="F42" s="41">
        <f t="shared" si="19"/>
        <v>14742.490000000005</v>
      </c>
      <c r="G42" s="108">
        <f t="shared" si="19"/>
        <v>45819.490000000056</v>
      </c>
      <c r="H42" s="40">
        <f t="shared" si="19"/>
        <v>-21354.63783979803</v>
      </c>
      <c r="I42" s="41">
        <f t="shared" si="19"/>
        <v>-24568.960000000036</v>
      </c>
      <c r="J42" s="61">
        <f t="shared" si="19"/>
        <v>-19475.989999999572</v>
      </c>
      <c r="K42" s="120">
        <f t="shared" si="19"/>
        <v>180446.6</v>
      </c>
      <c r="L42" s="41">
        <f t="shared" si="19"/>
        <v>72865.710000000006</v>
      </c>
      <c r="M42" s="49">
        <f t="shared" si="19"/>
        <v>-40740.67</v>
      </c>
    </row>
    <row r="43" spans="1:16" x14ac:dyDescent="0.35">
      <c r="C43" s="99"/>
      <c r="D43" s="147"/>
      <c r="E43" s="31"/>
      <c r="F43" s="31"/>
      <c r="G43" s="31"/>
      <c r="H43" s="28"/>
      <c r="I43" s="31"/>
      <c r="J43" s="11"/>
      <c r="K43" s="17"/>
      <c r="L43" s="17"/>
      <c r="M43" s="11"/>
    </row>
    <row r="44" spans="1:16" ht="15" thickBot="1" x14ac:dyDescent="0.4">
      <c r="A44" s="46" t="s">
        <v>52</v>
      </c>
      <c r="C44" s="104"/>
      <c r="D44" s="261"/>
      <c r="E44" s="31"/>
      <c r="F44" s="31"/>
      <c r="G44" s="31"/>
      <c r="H44" s="28"/>
      <c r="I44" s="31"/>
      <c r="J44" s="11"/>
      <c r="K44" s="17"/>
      <c r="L44" s="17"/>
      <c r="M44" s="11"/>
    </row>
    <row r="45" spans="1:16" x14ac:dyDescent="0.35">
      <c r="A45" s="46" t="s">
        <v>24</v>
      </c>
      <c r="B45" s="307">
        <v>255020.9600000002</v>
      </c>
      <c r="C45" s="41">
        <f t="shared" ref="C45:M45" si="21">B45+C38+B53</f>
        <v>-811818.68999999971</v>
      </c>
      <c r="D45" s="41">
        <f t="shared" ref="D45:D49" si="22">C45+D38+C53</f>
        <v>-810468.64999999967</v>
      </c>
      <c r="E45" s="41">
        <f t="shared" ref="E45:E49" si="23">D45+E38+D53</f>
        <v>-74795.429999999702</v>
      </c>
      <c r="F45" s="41">
        <f t="shared" si="21"/>
        <v>1088644.5400000003</v>
      </c>
      <c r="G45" s="108">
        <f t="shared" si="21"/>
        <v>1251157.0800000003</v>
      </c>
      <c r="H45" s="40">
        <f t="shared" si="21"/>
        <v>1122212.8900000001</v>
      </c>
      <c r="I45" s="41">
        <f t="shared" si="21"/>
        <v>1058261.4800000002</v>
      </c>
      <c r="J45" s="61">
        <f t="shared" si="21"/>
        <v>1156743.6000000003</v>
      </c>
      <c r="K45" s="120">
        <f t="shared" si="21"/>
        <v>1348546.1700000004</v>
      </c>
      <c r="L45" s="41">
        <f t="shared" si="21"/>
        <v>1512811.8900000004</v>
      </c>
      <c r="M45" s="49">
        <f t="shared" si="21"/>
        <v>717155.78000000038</v>
      </c>
    </row>
    <row r="46" spans="1:16" x14ac:dyDescent="0.35">
      <c r="A46" s="46" t="s">
        <v>104</v>
      </c>
      <c r="B46" s="309">
        <v>83651.149999999965</v>
      </c>
      <c r="C46" s="41">
        <f t="shared" ref="C46:M46" si="24">B46+C39+B54</f>
        <v>-68719.270000000048</v>
      </c>
      <c r="D46" s="41">
        <f t="shared" si="22"/>
        <v>-69007.520000000048</v>
      </c>
      <c r="E46" s="41">
        <f t="shared" si="23"/>
        <v>-50496.050000000047</v>
      </c>
      <c r="F46" s="41">
        <f t="shared" si="24"/>
        <v>-38103.140000000058</v>
      </c>
      <c r="G46" s="108">
        <f t="shared" si="24"/>
        <v>-11503.330000000062</v>
      </c>
      <c r="H46" s="40">
        <f t="shared" si="24"/>
        <v>-61726.092160202097</v>
      </c>
      <c r="I46" s="41">
        <f t="shared" si="24"/>
        <v>47797.607839797914</v>
      </c>
      <c r="J46" s="61">
        <f t="shared" si="24"/>
        <v>-111349.58216020206</v>
      </c>
      <c r="K46" s="120">
        <f t="shared" si="24"/>
        <v>-84161.132160202047</v>
      </c>
      <c r="L46" s="41">
        <f t="shared" si="24"/>
        <v>-102822.31216020204</v>
      </c>
      <c r="M46" s="49">
        <f t="shared" si="24"/>
        <v>-180499.99216020203</v>
      </c>
    </row>
    <row r="47" spans="1:16" x14ac:dyDescent="0.35">
      <c r="A47" s="46" t="s">
        <v>105</v>
      </c>
      <c r="B47" s="309">
        <v>697778.35000000009</v>
      </c>
      <c r="C47" s="41">
        <f t="shared" ref="C47:M47" si="25">B47+C40+B55</f>
        <v>378905.49000000022</v>
      </c>
      <c r="D47" s="41">
        <f t="shared" si="22"/>
        <v>372787.29000000021</v>
      </c>
      <c r="E47" s="41">
        <f t="shared" si="23"/>
        <v>248569.73000000021</v>
      </c>
      <c r="F47" s="41">
        <f t="shared" si="25"/>
        <v>1618394.1300000004</v>
      </c>
      <c r="G47" s="108">
        <f t="shared" si="25"/>
        <v>1909458.7800000005</v>
      </c>
      <c r="H47" s="40">
        <f t="shared" si="25"/>
        <v>1809773.6600000004</v>
      </c>
      <c r="I47" s="41">
        <f t="shared" si="25"/>
        <v>2755661.7</v>
      </c>
      <c r="J47" s="61">
        <f t="shared" si="25"/>
        <v>1540041.31</v>
      </c>
      <c r="K47" s="120">
        <f t="shared" si="25"/>
        <v>1552528.4100000001</v>
      </c>
      <c r="L47" s="41">
        <f t="shared" si="25"/>
        <v>1452834.5100000002</v>
      </c>
      <c r="M47" s="49">
        <f t="shared" si="25"/>
        <v>1215122.7800000003</v>
      </c>
    </row>
    <row r="48" spans="1:16" x14ac:dyDescent="0.35">
      <c r="A48" s="46" t="s">
        <v>106</v>
      </c>
      <c r="B48" s="309">
        <v>539793.72999999986</v>
      </c>
      <c r="C48" s="41">
        <f t="shared" ref="C48:M48" si="26">B48+C41+B56</f>
        <v>-78988.760000000009</v>
      </c>
      <c r="D48" s="41">
        <f t="shared" si="22"/>
        <v>-81848.98000000001</v>
      </c>
      <c r="E48" s="41">
        <f t="shared" si="23"/>
        <v>550289.93000000005</v>
      </c>
      <c r="F48" s="41">
        <f t="shared" si="26"/>
        <v>732848.85000000009</v>
      </c>
      <c r="G48" s="108">
        <f t="shared" si="26"/>
        <v>725482.50000000012</v>
      </c>
      <c r="H48" s="40">
        <f t="shared" si="26"/>
        <v>590002.4600000002</v>
      </c>
      <c r="I48" s="41">
        <f t="shared" si="26"/>
        <v>478964.2100000002</v>
      </c>
      <c r="J48" s="61">
        <f t="shared" si="26"/>
        <v>104539.75000000017</v>
      </c>
      <c r="K48" s="120">
        <f t="shared" si="26"/>
        <v>164648.16000000012</v>
      </c>
      <c r="L48" s="41">
        <f t="shared" si="26"/>
        <v>51527.62000000009</v>
      </c>
      <c r="M48" s="49">
        <f t="shared" si="26"/>
        <v>-278162.65999999986</v>
      </c>
    </row>
    <row r="49" spans="1:16" ht="15" thickBot="1" x14ac:dyDescent="0.4">
      <c r="A49" s="46" t="s">
        <v>107</v>
      </c>
      <c r="B49" s="308">
        <v>-47554.939999999311</v>
      </c>
      <c r="C49" s="41">
        <f>B49+C42+B57</f>
        <v>-288693.09999999934</v>
      </c>
      <c r="D49" s="41">
        <f t="shared" si="22"/>
        <v>-286868.07999999932</v>
      </c>
      <c r="E49" s="41">
        <f t="shared" si="23"/>
        <v>-164756.71999999954</v>
      </c>
      <c r="F49" s="41">
        <f t="shared" ref="F49:M49" si="27">E49+F42+E57</f>
        <v>-151224.64999999953</v>
      </c>
      <c r="G49" s="108">
        <f t="shared" si="27"/>
        <v>-106274.86999999949</v>
      </c>
      <c r="H49" s="40">
        <f t="shared" si="27"/>
        <v>-128335.94783979752</v>
      </c>
      <c r="I49" s="41">
        <f t="shared" si="27"/>
        <v>-153546.75783979756</v>
      </c>
      <c r="J49" s="61">
        <f t="shared" si="27"/>
        <v>-173793.79783979713</v>
      </c>
      <c r="K49" s="120">
        <f t="shared" si="27"/>
        <v>5758.2421602028753</v>
      </c>
      <c r="L49" s="41">
        <f t="shared" si="27"/>
        <v>78163.382160202877</v>
      </c>
      <c r="M49" s="49">
        <f t="shared" si="27"/>
        <v>37650.262160202881</v>
      </c>
    </row>
    <row r="50" spans="1:16" x14ac:dyDescent="0.35">
      <c r="C50" s="99"/>
      <c r="D50" s="147"/>
      <c r="E50" s="31"/>
      <c r="F50" s="31"/>
      <c r="G50" s="31"/>
      <c r="H50" s="28"/>
      <c r="I50" s="31"/>
      <c r="J50" s="11"/>
      <c r="K50" s="17"/>
      <c r="L50" s="17"/>
      <c r="M50" s="11"/>
    </row>
    <row r="51" spans="1:16" x14ac:dyDescent="0.35">
      <c r="A51" s="39" t="s">
        <v>48</v>
      </c>
      <c r="B51" s="39"/>
      <c r="C51" s="104"/>
      <c r="D51" s="261"/>
      <c r="E51" s="83">
        <f>+'PCR Cycle 2'!E50</f>
        <v>5.3602700000000003E-3</v>
      </c>
      <c r="F51" s="83">
        <f>+'PCR Cycle 2'!F50</f>
        <v>5.4837899999999997E-3</v>
      </c>
      <c r="G51" s="83">
        <f>+'PCR Cycle 2'!G50</f>
        <v>5.4684599999999996E-3</v>
      </c>
      <c r="H51" s="84">
        <f>+'PCR Cycle 2'!H50</f>
        <v>5.4552200000000002E-3</v>
      </c>
      <c r="I51" s="83">
        <f>+'PCR Cycle 2'!I50</f>
        <v>5.4582900000000002E-3</v>
      </c>
      <c r="J51" s="92">
        <f>+'PCR Cycle 2'!J50</f>
        <v>5.45277E-3</v>
      </c>
      <c r="K51" s="83">
        <f>+'PCR Cycle 2'!K50</f>
        <v>5.45277E-3</v>
      </c>
      <c r="L51" s="83">
        <f>+'PCR Cycle 2'!L50</f>
        <v>5.45277E-3</v>
      </c>
      <c r="M51" s="92"/>
    </row>
    <row r="52" spans="1:16" x14ac:dyDescent="0.35">
      <c r="A52" s="39" t="s">
        <v>36</v>
      </c>
      <c r="B52" s="39"/>
      <c r="C52" s="99"/>
      <c r="D52" s="147"/>
      <c r="E52" s="31"/>
      <c r="F52" s="31"/>
      <c r="G52" s="31"/>
      <c r="H52" s="28"/>
      <c r="I52" s="31"/>
      <c r="J52" s="11"/>
      <c r="K52" s="17"/>
      <c r="L52" s="17"/>
      <c r="M52" s="11"/>
      <c r="N52" s="71"/>
    </row>
    <row r="53" spans="1:16" x14ac:dyDescent="0.35">
      <c r="A53" s="46" t="s">
        <v>24</v>
      </c>
      <c r="C53" s="305">
        <v>1350.0400000000002</v>
      </c>
      <c r="D53" s="120"/>
      <c r="E53" s="41">
        <f>ROUND((C45+C53+D53+E38/2)*E$51,2)</f>
        <v>-2372.63</v>
      </c>
      <c r="F53" s="41">
        <f t="shared" ref="F53:L57" si="28">ROUND((E45+E53+F38/2)*F$51,2)</f>
        <v>2773.36</v>
      </c>
      <c r="G53" s="108">
        <f t="shared" si="28"/>
        <v>6405.14</v>
      </c>
      <c r="H53" s="40">
        <f t="shared" si="28"/>
        <v>6491.1</v>
      </c>
      <c r="I53" s="120">
        <f t="shared" si="28"/>
        <v>5968.55</v>
      </c>
      <c r="J53" s="61">
        <f t="shared" si="28"/>
        <v>6055.23</v>
      </c>
      <c r="K53" s="120">
        <f t="shared" si="28"/>
        <v>6846.89</v>
      </c>
      <c r="L53" s="120">
        <f t="shared" si="28"/>
        <v>7819.83</v>
      </c>
      <c r="M53" s="49"/>
      <c r="P53" s="47">
        <f t="shared" ref="P53:P57" si="29">-SUM(K53:M53)</f>
        <v>-14666.720000000001</v>
      </c>
    </row>
    <row r="54" spans="1:16" x14ac:dyDescent="0.35">
      <c r="A54" s="46" t="s">
        <v>104</v>
      </c>
      <c r="C54" s="310">
        <v>-288.25</v>
      </c>
      <c r="D54" s="262"/>
      <c r="E54" s="41">
        <f t="shared" ref="E54:E57" si="30">ROUND((C46+C54+D54+E39/2)*E$51,2)</f>
        <v>-320.29000000000002</v>
      </c>
      <c r="F54" s="41">
        <f t="shared" si="28"/>
        <v>-243.81</v>
      </c>
      <c r="G54" s="108">
        <f t="shared" si="28"/>
        <v>-136.30000000000001</v>
      </c>
      <c r="H54" s="40">
        <f t="shared" si="28"/>
        <v>-200.11</v>
      </c>
      <c r="I54" s="120">
        <f t="shared" si="28"/>
        <v>-38.56</v>
      </c>
      <c r="J54" s="61">
        <f t="shared" si="28"/>
        <v>-173.37</v>
      </c>
      <c r="K54" s="120">
        <f t="shared" si="28"/>
        <v>-533.51</v>
      </c>
      <c r="L54" s="120">
        <f t="shared" si="28"/>
        <v>-511.24</v>
      </c>
      <c r="M54" s="49"/>
      <c r="P54" s="47">
        <f t="shared" si="29"/>
        <v>1044.75</v>
      </c>
    </row>
    <row r="55" spans="1:16" x14ac:dyDescent="0.35">
      <c r="A55" s="46" t="s">
        <v>105</v>
      </c>
      <c r="C55" s="310">
        <v>-6118.2</v>
      </c>
      <c r="D55" s="262"/>
      <c r="E55" s="41">
        <f t="shared" si="30"/>
        <v>1665.32</v>
      </c>
      <c r="F55" s="41">
        <f t="shared" si="28"/>
        <v>5123.59</v>
      </c>
      <c r="G55" s="108">
        <f t="shared" si="28"/>
        <v>9659.9699999999993</v>
      </c>
      <c r="H55" s="40">
        <f t="shared" si="28"/>
        <v>10170.959999999999</v>
      </c>
      <c r="I55" s="120">
        <f t="shared" si="28"/>
        <v>12487.49</v>
      </c>
      <c r="J55" s="61">
        <f t="shared" si="28"/>
        <v>11745.79</v>
      </c>
      <c r="K55" s="120">
        <f t="shared" si="28"/>
        <v>8463.56</v>
      </c>
      <c r="L55" s="120">
        <f t="shared" si="28"/>
        <v>8216.85</v>
      </c>
      <c r="M55" s="49"/>
      <c r="P55" s="47">
        <f t="shared" si="29"/>
        <v>-16680.41</v>
      </c>
    </row>
    <row r="56" spans="1:16" x14ac:dyDescent="0.35">
      <c r="A56" s="46" t="s">
        <v>106</v>
      </c>
      <c r="C56" s="310">
        <v>-2860.2200000000003</v>
      </c>
      <c r="D56" s="262"/>
      <c r="E56" s="41">
        <f t="shared" si="30"/>
        <v>1255.48</v>
      </c>
      <c r="F56" s="41">
        <f t="shared" si="28"/>
        <v>3521.67</v>
      </c>
      <c r="G56" s="108">
        <f t="shared" si="28"/>
        <v>3997.04</v>
      </c>
      <c r="H56" s="40">
        <f t="shared" si="28"/>
        <v>3599.03</v>
      </c>
      <c r="I56" s="120">
        <f t="shared" si="28"/>
        <v>2927.19</v>
      </c>
      <c r="J56" s="61">
        <f t="shared" si="28"/>
        <v>1598.84</v>
      </c>
      <c r="K56" s="120">
        <f t="shared" si="28"/>
        <v>738.27</v>
      </c>
      <c r="L56" s="120">
        <f t="shared" si="28"/>
        <v>591.39</v>
      </c>
      <c r="M56" s="49"/>
      <c r="P56" s="47">
        <f t="shared" si="29"/>
        <v>-1329.6599999999999</v>
      </c>
    </row>
    <row r="57" spans="1:16" ht="15" thickBot="1" x14ac:dyDescent="0.4">
      <c r="A57" s="46" t="s">
        <v>107</v>
      </c>
      <c r="C57" s="306">
        <v>1825.02</v>
      </c>
      <c r="D57" s="262"/>
      <c r="E57" s="41">
        <f t="shared" si="30"/>
        <v>-1210.42</v>
      </c>
      <c r="F57" s="41">
        <f t="shared" si="28"/>
        <v>-869.71</v>
      </c>
      <c r="G57" s="108">
        <f t="shared" si="28"/>
        <v>-706.44</v>
      </c>
      <c r="H57" s="40">
        <f t="shared" si="28"/>
        <v>-641.85</v>
      </c>
      <c r="I57" s="120">
        <f t="shared" si="28"/>
        <v>-771.05</v>
      </c>
      <c r="J57" s="61">
        <f t="shared" si="28"/>
        <v>-894.56</v>
      </c>
      <c r="K57" s="120">
        <f t="shared" si="28"/>
        <v>-460.57</v>
      </c>
      <c r="L57" s="120">
        <f t="shared" si="28"/>
        <v>227.55</v>
      </c>
      <c r="M57" s="49"/>
      <c r="N57" s="301"/>
      <c r="O57" s="301"/>
      <c r="P57" s="47">
        <f t="shared" si="29"/>
        <v>233.01999999999998</v>
      </c>
    </row>
    <row r="58" spans="1:16" ht="15.5" thickTop="1" thickBot="1" x14ac:dyDescent="0.4">
      <c r="A58" s="54" t="s">
        <v>22</v>
      </c>
      <c r="B58" s="54"/>
      <c r="C58" s="114">
        <v>0</v>
      </c>
      <c r="D58" s="263"/>
      <c r="E58" s="32">
        <f t="shared" ref="E58:M58" si="31">SUM(E53:E57)+SUM(E45:E49)-E61</f>
        <v>-5.2386894822120667E-10</v>
      </c>
      <c r="F58" s="32">
        <f t="shared" si="31"/>
        <v>0</v>
      </c>
      <c r="G58" s="50">
        <f t="shared" si="31"/>
        <v>0</v>
      </c>
      <c r="H58" s="121">
        <f t="shared" si="31"/>
        <v>0</v>
      </c>
      <c r="I58" s="32">
        <f t="shared" si="31"/>
        <v>0</v>
      </c>
      <c r="J58" s="62">
        <f t="shared" si="31"/>
        <v>0</v>
      </c>
      <c r="K58" s="161">
        <f t="shared" si="31"/>
        <v>0</v>
      </c>
      <c r="L58" s="32">
        <f t="shared" si="31"/>
        <v>0</v>
      </c>
      <c r="M58" s="96">
        <f t="shared" si="31"/>
        <v>0</v>
      </c>
    </row>
    <row r="59" spans="1:16" ht="15.5" thickTop="1" thickBot="1" x14ac:dyDescent="0.4">
      <c r="A59" s="54" t="s">
        <v>23</v>
      </c>
      <c r="B59" s="54"/>
      <c r="C59" s="107">
        <v>0</v>
      </c>
      <c r="D59" s="264"/>
      <c r="E59" s="32">
        <f t="shared" ref="E59:J59" si="32">SUM(E53:E57)-E35</f>
        <v>-2.0000000000209184E-2</v>
      </c>
      <c r="F59" s="32">
        <f t="shared" si="32"/>
        <v>0</v>
      </c>
      <c r="G59" s="50">
        <f t="shared" ref="G59:I59" si="33">SUM(G53:G57)-G35</f>
        <v>-9.9999999983992893E-3</v>
      </c>
      <c r="H59" s="51">
        <f t="shared" si="33"/>
        <v>0</v>
      </c>
      <c r="I59" s="32">
        <f t="shared" si="33"/>
        <v>0</v>
      </c>
      <c r="J59" s="62">
        <f t="shared" si="32"/>
        <v>9.9999999983992893E-3</v>
      </c>
      <c r="K59" s="161">
        <f t="shared" ref="K59:M59" si="34">SUM(K53:K57)-K35</f>
        <v>0</v>
      </c>
      <c r="L59" s="32">
        <f t="shared" si="34"/>
        <v>0</v>
      </c>
      <c r="M59" s="96">
        <f t="shared" si="34"/>
        <v>0</v>
      </c>
    </row>
    <row r="60" spans="1:16" ht="15.5" thickTop="1" thickBot="1" x14ac:dyDescent="0.4">
      <c r="C60" s="99"/>
      <c r="D60" s="147"/>
      <c r="E60" s="17"/>
      <c r="F60" s="17"/>
      <c r="G60" s="17"/>
      <c r="H60" s="10"/>
      <c r="I60" s="17"/>
      <c r="J60" s="11"/>
      <c r="K60" s="17"/>
      <c r="L60" s="17"/>
      <c r="M60" s="11"/>
    </row>
    <row r="61" spans="1:16" ht="15" thickBot="1" x14ac:dyDescent="0.4">
      <c r="A61" s="46" t="s">
        <v>35</v>
      </c>
      <c r="B61" s="116">
        <f>SUM(B45:B49)</f>
        <v>1528689.2500000007</v>
      </c>
      <c r="C61" s="40">
        <f>(SUM(C15:C19)-SUM(C29:C33))+SUM(C53:C57)+B61</f>
        <v>-875405.93999999831</v>
      </c>
      <c r="D61" s="41">
        <f>(SUM(D15:D19)-SUM(D29:D33))+SUM(D53:D57)+C61</f>
        <v>-875405.93999999831</v>
      </c>
      <c r="E61" s="41">
        <f>(SUM(E15:E19)-SUM(E29:E33))+SUM(D53:E57)+C61</f>
        <v>507828.92000000156</v>
      </c>
      <c r="F61" s="41">
        <f t="shared" ref="F61:M61" si="35">(SUM(F15:F19)-SUM(F29:F33))+SUM(F53:F57)+E61</f>
        <v>3260864.8300000019</v>
      </c>
      <c r="G61" s="108">
        <f t="shared" si="35"/>
        <v>3787539.5700000022</v>
      </c>
      <c r="H61" s="40">
        <f t="shared" si="35"/>
        <v>3351346.1000000024</v>
      </c>
      <c r="I61" s="41">
        <f t="shared" si="35"/>
        <v>4207711.8600000022</v>
      </c>
      <c r="J61" s="61">
        <f t="shared" si="35"/>
        <v>2534513.2100000028</v>
      </c>
      <c r="K61" s="120">
        <f t="shared" si="35"/>
        <v>3002374.490000003</v>
      </c>
      <c r="L61" s="41">
        <f t="shared" si="35"/>
        <v>3008859.470000003</v>
      </c>
      <c r="M61" s="61">
        <f t="shared" si="35"/>
        <v>1511266.1700000032</v>
      </c>
    </row>
    <row r="62" spans="1:16" x14ac:dyDescent="0.35">
      <c r="A62" s="46" t="s">
        <v>12</v>
      </c>
      <c r="C62" s="117"/>
      <c r="D62" s="17"/>
      <c r="E62" s="56"/>
      <c r="F62" s="56"/>
      <c r="G62" s="56"/>
      <c r="H62" s="12"/>
      <c r="I62" s="56"/>
      <c r="J62" s="11"/>
      <c r="K62" s="17"/>
      <c r="L62" s="17"/>
      <c r="M62" s="11"/>
    </row>
    <row r="63" spans="1:16" ht="15" thickBot="1" x14ac:dyDescent="0.4">
      <c r="B63" s="17"/>
      <c r="C63" s="43"/>
      <c r="D63" s="44"/>
      <c r="E63" s="44"/>
      <c r="F63" s="44"/>
      <c r="G63" s="44"/>
      <c r="H63" s="43"/>
      <c r="I63" s="44"/>
      <c r="J63" s="45"/>
      <c r="K63" s="44"/>
      <c r="L63" s="44"/>
      <c r="M63" s="45"/>
    </row>
    <row r="64" spans="1:16" x14ac:dyDescent="0.35">
      <c r="D64" s="47"/>
    </row>
    <row r="65" spans="1:13" x14ac:dyDescent="0.35">
      <c r="A65" s="69" t="s">
        <v>11</v>
      </c>
      <c r="B65" s="69"/>
      <c r="C65" s="69"/>
      <c r="D65" s="69"/>
    </row>
    <row r="66" spans="1:13" ht="81" customHeight="1" x14ac:dyDescent="0.35">
      <c r="A66" s="350" t="s">
        <v>285</v>
      </c>
      <c r="B66" s="356"/>
      <c r="C66" s="356"/>
      <c r="D66" s="356"/>
      <c r="E66" s="356"/>
      <c r="F66" s="356"/>
      <c r="G66" s="356"/>
      <c r="H66" s="356"/>
      <c r="I66" s="356"/>
      <c r="J66" s="356"/>
      <c r="K66" s="232"/>
      <c r="L66" s="232"/>
      <c r="M66" s="232"/>
    </row>
    <row r="67" spans="1:13" ht="59.25" customHeight="1" x14ac:dyDescent="0.35">
      <c r="A67" s="350" t="s">
        <v>283</v>
      </c>
      <c r="B67" s="356"/>
      <c r="C67" s="356"/>
      <c r="D67" s="356"/>
      <c r="E67" s="356"/>
      <c r="F67" s="356"/>
      <c r="G67" s="356"/>
      <c r="H67" s="356"/>
      <c r="I67" s="356"/>
      <c r="J67" s="356"/>
      <c r="K67" s="232"/>
      <c r="L67" s="232"/>
      <c r="M67" s="232"/>
    </row>
    <row r="68" spans="1:13" ht="63.75" customHeight="1" x14ac:dyDescent="0.35">
      <c r="A68" s="350" t="s">
        <v>286</v>
      </c>
      <c r="B68" s="356"/>
      <c r="C68" s="356"/>
      <c r="D68" s="356"/>
      <c r="E68" s="356"/>
      <c r="F68" s="356"/>
      <c r="G68" s="356"/>
      <c r="H68" s="356"/>
      <c r="I68" s="356"/>
      <c r="J68" s="356"/>
      <c r="K68" s="232"/>
      <c r="L68" s="232"/>
      <c r="M68" s="232"/>
    </row>
    <row r="69" spans="1:13" x14ac:dyDescent="0.35">
      <c r="A69" s="350" t="s">
        <v>303</v>
      </c>
      <c r="B69" s="356"/>
      <c r="C69" s="356"/>
      <c r="D69" s="356"/>
      <c r="E69" s="356"/>
      <c r="F69" s="356"/>
      <c r="G69" s="356"/>
      <c r="H69" s="356"/>
      <c r="I69" s="356"/>
      <c r="J69" s="356"/>
    </row>
    <row r="70" spans="1:13" x14ac:dyDescent="0.35">
      <c r="A70" s="63" t="s">
        <v>284</v>
      </c>
      <c r="B70" s="3"/>
      <c r="C70" s="3"/>
      <c r="D70" s="3"/>
      <c r="J70" s="4"/>
    </row>
    <row r="71" spans="1:13" x14ac:dyDescent="0.35">
      <c r="A71" s="3" t="s">
        <v>50</v>
      </c>
      <c r="B71" s="3"/>
      <c r="C71" s="3"/>
      <c r="D71" s="3"/>
      <c r="J71" s="4"/>
    </row>
    <row r="72" spans="1:13" x14ac:dyDescent="0.35">
      <c r="A72" s="3"/>
    </row>
    <row r="73" spans="1:13" ht="33.75" customHeight="1" x14ac:dyDescent="0.35">
      <c r="A73" s="346"/>
      <c r="B73" s="346"/>
      <c r="C73" s="346"/>
      <c r="D73" s="346"/>
      <c r="E73" s="346"/>
      <c r="F73" s="346"/>
      <c r="G73" s="346"/>
    </row>
    <row r="75" spans="1:13" ht="31.5" customHeight="1" x14ac:dyDescent="0.35">
      <c r="A75" s="346"/>
      <c r="B75" s="346"/>
      <c r="C75" s="346"/>
      <c r="D75" s="346"/>
      <c r="E75" s="346"/>
      <c r="F75" s="346"/>
      <c r="G75" s="346"/>
    </row>
    <row r="81" spans="14:14" x14ac:dyDescent="0.35">
      <c r="N81" s="8"/>
    </row>
  </sheetData>
  <mergeCells count="9">
    <mergeCell ref="K11:M11"/>
    <mergeCell ref="A66:J66"/>
    <mergeCell ref="A67:J67"/>
    <mergeCell ref="A75:G75"/>
    <mergeCell ref="A73:G73"/>
    <mergeCell ref="A68:J68"/>
    <mergeCell ref="E11:G11"/>
    <mergeCell ref="H11:J11"/>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F8D-5DDA-4043-8094-E35F198FC98E}">
  <sheetPr>
    <pageSetUpPr fitToPage="1"/>
  </sheetPr>
  <dimension ref="A1:AJ81"/>
  <sheetViews>
    <sheetView zoomScale="85" zoomScaleNormal="85" workbookViewId="0">
      <selection activeCell="M24" sqref="M24"/>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customWidth="1" outlineLevel="1"/>
    <col min="17" max="17" width="16.1796875" style="46" customWidth="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Metro, Inc. - DSIM Rider Update Filed 06/01/2024</v>
      </c>
      <c r="B1" s="3"/>
      <c r="C1" s="3"/>
      <c r="D1" s="3"/>
    </row>
    <row r="2" spans="1:36" x14ac:dyDescent="0.35">
      <c r="E2" s="3" t="s">
        <v>279</v>
      </c>
    </row>
    <row r="3" spans="1:36" ht="29" x14ac:dyDescent="0.35">
      <c r="E3" s="48" t="s">
        <v>45</v>
      </c>
      <c r="F3" s="48" t="s">
        <v>44</v>
      </c>
      <c r="G3" s="70" t="s">
        <v>2</v>
      </c>
      <c r="H3" s="48" t="s">
        <v>3</v>
      </c>
      <c r="I3" s="70" t="s">
        <v>54</v>
      </c>
      <c r="J3" s="48" t="s">
        <v>10</v>
      </c>
      <c r="K3" s="48" t="s">
        <v>4</v>
      </c>
    </row>
    <row r="4" spans="1:36" x14ac:dyDescent="0.35">
      <c r="A4" s="20" t="s">
        <v>24</v>
      </c>
      <c r="E4" s="22">
        <f>SUM(C29:M29)</f>
        <v>0</v>
      </c>
      <c r="F4" s="134">
        <f>SUM(C22:M22)</f>
        <v>657358351</v>
      </c>
      <c r="G4" s="22">
        <f>SUM(C15:L15)</f>
        <v>39392.199999999997</v>
      </c>
      <c r="H4" s="22">
        <f>G4-E4</f>
        <v>39392.199999999997</v>
      </c>
      <c r="I4" s="22">
        <f>+B45</f>
        <v>0</v>
      </c>
      <c r="J4" s="22">
        <f>SUM(C53:L53)</f>
        <v>0</v>
      </c>
      <c r="K4" s="25">
        <f>SUM(H4:J4)</f>
        <v>39392.199999999997</v>
      </c>
      <c r="L4" s="47">
        <f>+K4-M45</f>
        <v>0</v>
      </c>
    </row>
    <row r="5" spans="1:36" x14ac:dyDescent="0.35">
      <c r="A5" s="20" t="s">
        <v>104</v>
      </c>
      <c r="E5" s="22">
        <f>SUM(C30:M30)</f>
        <v>0</v>
      </c>
      <c r="F5" s="134">
        <f>SUM(C23:M23)</f>
        <v>162787241</v>
      </c>
      <c r="G5" s="22">
        <f>SUM(C16:L16)</f>
        <v>2884.6499999999996</v>
      </c>
      <c r="H5" s="22">
        <f>G5-E5</f>
        <v>2884.6499999999996</v>
      </c>
      <c r="I5" s="22">
        <f>+B46</f>
        <v>0</v>
      </c>
      <c r="J5" s="22">
        <f>SUM(C54:L54)</f>
        <v>0</v>
      </c>
      <c r="K5" s="25">
        <f>SUM(H5:J5)</f>
        <v>2884.6499999999996</v>
      </c>
      <c r="L5" s="47">
        <f t="shared" ref="L5:L7" si="0">+K5-M46</f>
        <v>0</v>
      </c>
    </row>
    <row r="6" spans="1:36" x14ac:dyDescent="0.35">
      <c r="A6" s="20" t="s">
        <v>105</v>
      </c>
      <c r="E6" s="22">
        <f>SUM(C31:M31)</f>
        <v>0</v>
      </c>
      <c r="F6" s="134">
        <f>SUM(C24:M24)</f>
        <v>286235085</v>
      </c>
      <c r="G6" s="22">
        <f>SUM(C17:L17)</f>
        <v>7264.87</v>
      </c>
      <c r="H6" s="22">
        <f>G6-E6</f>
        <v>7264.87</v>
      </c>
      <c r="I6" s="22">
        <f>+B47</f>
        <v>0</v>
      </c>
      <c r="J6" s="22">
        <f>SUM(C55:L55)</f>
        <v>0</v>
      </c>
      <c r="K6" s="25">
        <f>SUM(H6:J6)</f>
        <v>7264.87</v>
      </c>
      <c r="L6" s="47">
        <f t="shared" si="0"/>
        <v>0</v>
      </c>
    </row>
    <row r="7" spans="1:36" x14ac:dyDescent="0.35">
      <c r="A7" s="20" t="s">
        <v>106</v>
      </c>
      <c r="E7" s="22">
        <f>SUM(C32:M32)</f>
        <v>0</v>
      </c>
      <c r="F7" s="134">
        <f>SUM(C25:M25)</f>
        <v>455019756</v>
      </c>
      <c r="G7" s="22">
        <f>SUM(C18:L18)</f>
        <v>12162.75</v>
      </c>
      <c r="H7" s="22">
        <f>G7-E7</f>
        <v>12162.75</v>
      </c>
      <c r="I7" s="22">
        <f>+B48</f>
        <v>0</v>
      </c>
      <c r="J7" s="22">
        <f>SUM(C56:L56)</f>
        <v>0</v>
      </c>
      <c r="K7" s="25">
        <f>SUM(H7:J7)</f>
        <v>12162.75</v>
      </c>
      <c r="L7" s="47">
        <f t="shared" si="0"/>
        <v>0</v>
      </c>
    </row>
    <row r="8" spans="1:36" ht="15" thickBot="1" x14ac:dyDescent="0.4">
      <c r="A8" s="20" t="s">
        <v>107</v>
      </c>
      <c r="E8" s="22">
        <f>SUM(C33:M33)</f>
        <v>0</v>
      </c>
      <c r="F8" s="134">
        <f>SUM(C26:M26)</f>
        <v>120889513</v>
      </c>
      <c r="G8" s="22">
        <f>SUM(C19:L19)</f>
        <v>12803.18</v>
      </c>
      <c r="H8" s="22">
        <f>G8-E8</f>
        <v>12803.18</v>
      </c>
      <c r="I8" s="22">
        <f>+B49</f>
        <v>0</v>
      </c>
      <c r="J8" s="22">
        <f>SUM(C57:L57)</f>
        <v>0</v>
      </c>
      <c r="K8" s="25">
        <f>SUM(H8:J8)</f>
        <v>12803.18</v>
      </c>
      <c r="L8" s="47">
        <f>+K8-M49</f>
        <v>0</v>
      </c>
    </row>
    <row r="9" spans="1:36" ht="15.5" thickTop="1" thickBot="1" x14ac:dyDescent="0.4">
      <c r="E9" s="27">
        <f t="shared" ref="E9:I9" si="1">SUM(E4:E8)</f>
        <v>0</v>
      </c>
      <c r="F9" s="27">
        <f t="shared" si="1"/>
        <v>1682289946</v>
      </c>
      <c r="G9" s="27">
        <f t="shared" si="1"/>
        <v>74507.649999999994</v>
      </c>
      <c r="H9" s="27">
        <f t="shared" si="1"/>
        <v>74507.649999999994</v>
      </c>
      <c r="I9" s="27">
        <f t="shared" si="1"/>
        <v>0</v>
      </c>
      <c r="J9" s="27">
        <f>SUM(J4:J8)</f>
        <v>0</v>
      </c>
      <c r="K9" s="27">
        <f>SUM(K4:K8)</f>
        <v>74507.649999999994</v>
      </c>
    </row>
    <row r="10" spans="1:36" ht="15.5" thickTop="1" thickBot="1" x14ac:dyDescent="0.4"/>
    <row r="11" spans="1:36" ht="96.75" customHeight="1" thickBot="1" x14ac:dyDescent="0.4">
      <c r="B11" s="115" t="str">
        <f>+'PCR Cycle 2'!B14</f>
        <v>Cumulative Over/Under Carryover From 12/01/2023 Filing</v>
      </c>
      <c r="C11" s="267" t="str">
        <f>+'PCR Cycle 2'!C14</f>
        <v>Reverse November 2023 - January 2024 Forecast From 12/01/2023 Filing</v>
      </c>
      <c r="D11" s="267"/>
      <c r="E11" s="351" t="s">
        <v>32</v>
      </c>
      <c r="F11" s="351"/>
      <c r="G11" s="352"/>
      <c r="H11" s="353" t="s">
        <v>32</v>
      </c>
      <c r="I11" s="354"/>
      <c r="J11" s="355"/>
      <c r="K11" s="347" t="s">
        <v>8</v>
      </c>
      <c r="L11" s="348"/>
      <c r="M11" s="349"/>
      <c r="P11" s="290" t="s">
        <v>237</v>
      </c>
    </row>
    <row r="12" spans="1:36" x14ac:dyDescent="0.35">
      <c r="C12" s="14"/>
      <c r="D12" s="19"/>
      <c r="E12" s="19">
        <f>+'PCR Cycle 2'!E15</f>
        <v>45260</v>
      </c>
      <c r="F12" s="19">
        <f>+'PCR Cycle 2'!F15</f>
        <v>45291</v>
      </c>
      <c r="G12" s="19">
        <f>+'PCR Cycle 2'!G15</f>
        <v>45322</v>
      </c>
      <c r="H12" s="14">
        <f>+'PCR Cycle 2'!H15</f>
        <v>45351</v>
      </c>
      <c r="I12" s="19">
        <f>+'PCR Cycle 2'!I15</f>
        <v>45382</v>
      </c>
      <c r="J12" s="15">
        <f>+'PCR Cycle 2'!J15</f>
        <v>45412</v>
      </c>
      <c r="K12" s="19">
        <f>+'PCR Cycle 2'!K15</f>
        <v>45443</v>
      </c>
      <c r="L12" s="19">
        <f>+'PCR Cycle 2'!L15</f>
        <v>45473</v>
      </c>
      <c r="M12" s="95">
        <f>+'PCR Cycle 2'!M15</f>
        <v>45504</v>
      </c>
      <c r="AA12" s="1"/>
      <c r="AB12" s="1"/>
      <c r="AC12" s="1"/>
      <c r="AD12" s="1"/>
      <c r="AE12" s="1"/>
      <c r="AF12" s="1"/>
      <c r="AG12" s="1"/>
      <c r="AH12" s="1"/>
      <c r="AI12" s="1"/>
      <c r="AJ12" s="1"/>
    </row>
    <row r="13" spans="1:36" x14ac:dyDescent="0.35">
      <c r="C13" s="98"/>
      <c r="D13" s="257"/>
      <c r="E13" s="31"/>
      <c r="F13" s="31"/>
      <c r="G13" s="31"/>
      <c r="H13" s="28"/>
      <c r="I13" s="31"/>
      <c r="J13" s="11"/>
      <c r="K13" s="31"/>
      <c r="L13" s="31"/>
      <c r="M13" s="29"/>
      <c r="P13" s="47"/>
    </row>
    <row r="14" spans="1:36" x14ac:dyDescent="0.35">
      <c r="A14" s="46" t="s">
        <v>137</v>
      </c>
      <c r="C14" s="99"/>
      <c r="D14" s="147"/>
      <c r="E14" s="31"/>
      <c r="F14" s="31"/>
      <c r="G14" s="31"/>
      <c r="H14" s="28"/>
      <c r="I14" s="31"/>
      <c r="J14" s="163"/>
      <c r="K14" s="17"/>
      <c r="L14" s="17"/>
      <c r="M14" s="11"/>
      <c r="P14" s="47"/>
    </row>
    <row r="15" spans="1:36" x14ac:dyDescent="0.35">
      <c r="A15" s="46" t="s">
        <v>24</v>
      </c>
      <c r="C15" s="97"/>
      <c r="D15" s="256"/>
      <c r="E15" s="109"/>
      <c r="F15" s="109">
        <f>'[12]Jurisdiction Allocations'!$M$24</f>
        <v>39392.199999999997</v>
      </c>
      <c r="G15" s="109"/>
      <c r="H15" s="297"/>
      <c r="I15" s="298"/>
      <c r="J15" s="299"/>
      <c r="K15" s="300"/>
      <c r="L15" s="136"/>
      <c r="M15" s="76"/>
      <c r="P15" s="47">
        <f>-SUM(K15:M15)</f>
        <v>0</v>
      </c>
    </row>
    <row r="16" spans="1:36" x14ac:dyDescent="0.35">
      <c r="A16" s="46" t="s">
        <v>104</v>
      </c>
      <c r="C16" s="97"/>
      <c r="D16" s="256"/>
      <c r="E16" s="109"/>
      <c r="F16" s="109">
        <f>'[12]Jurisdiction Allocations'!$N$24</f>
        <v>2884.6499999999996</v>
      </c>
      <c r="G16" s="109"/>
      <c r="H16" s="297"/>
      <c r="I16" s="298"/>
      <c r="J16" s="299"/>
      <c r="K16" s="300"/>
      <c r="L16" s="136"/>
      <c r="M16" s="76"/>
      <c r="P16" s="47">
        <f t="shared" ref="P16:P19" si="2">-SUM(K16:M16)</f>
        <v>0</v>
      </c>
      <c r="Q16" s="254">
        <f>SUM(E16:J16)/SUM($E$16:$J$19)</f>
        <v>8.2147601696689054E-2</v>
      </c>
    </row>
    <row r="17" spans="1:17" x14ac:dyDescent="0.35">
      <c r="A17" s="46" t="s">
        <v>105</v>
      </c>
      <c r="C17" s="97"/>
      <c r="D17" s="256"/>
      <c r="E17" s="109"/>
      <c r="F17" s="109">
        <f>'[12]Jurisdiction Allocations'!$O$24</f>
        <v>7264.87</v>
      </c>
      <c r="G17" s="109"/>
      <c r="H17" s="297"/>
      <c r="I17" s="298"/>
      <c r="J17" s="299"/>
      <c r="K17" s="300"/>
      <c r="L17" s="136"/>
      <c r="M17" s="76"/>
      <c r="P17" s="47">
        <f t="shared" si="2"/>
        <v>0</v>
      </c>
      <c r="Q17" s="254">
        <f t="shared" ref="Q17:Q19" si="3">SUM(E17:J17)/SUM($E$16:$J$19)</f>
        <v>0.20688528838445758</v>
      </c>
    </row>
    <row r="18" spans="1:17" x14ac:dyDescent="0.35">
      <c r="A18" s="46" t="s">
        <v>106</v>
      </c>
      <c r="C18" s="97"/>
      <c r="D18" s="256"/>
      <c r="E18" s="109"/>
      <c r="F18" s="109">
        <f>'[12]Jurisdiction Allocations'!$P$24</f>
        <v>12162.75</v>
      </c>
      <c r="G18" s="109"/>
      <c r="H18" s="297"/>
      <c r="I18" s="298"/>
      <c r="J18" s="299"/>
      <c r="K18" s="300"/>
      <c r="L18" s="136"/>
      <c r="M18" s="76"/>
      <c r="P18" s="47">
        <f t="shared" si="2"/>
        <v>0</v>
      </c>
      <c r="Q18" s="254">
        <f t="shared" si="3"/>
        <v>0.34636463437034126</v>
      </c>
    </row>
    <row r="19" spans="1:17" x14ac:dyDescent="0.35">
      <c r="A19" s="46" t="s">
        <v>107</v>
      </c>
      <c r="C19" s="97"/>
      <c r="D19" s="256"/>
      <c r="E19" s="109"/>
      <c r="F19" s="109">
        <f>'[12]Jurisdiction Allocations'!$Q$24</f>
        <v>12803.18</v>
      </c>
      <c r="G19" s="109"/>
      <c r="H19" s="297"/>
      <c r="I19" s="298"/>
      <c r="J19" s="299"/>
      <c r="K19" s="300"/>
      <c r="L19" s="136"/>
      <c r="M19" s="76"/>
      <c r="P19" s="47">
        <f t="shared" si="2"/>
        <v>0</v>
      </c>
      <c r="Q19" s="254">
        <f t="shared" si="3"/>
        <v>0.36460247554851216</v>
      </c>
    </row>
    <row r="20" spans="1:17" x14ac:dyDescent="0.35">
      <c r="C20" s="99"/>
      <c r="D20" s="147"/>
      <c r="E20" s="324"/>
      <c r="F20" s="324"/>
      <c r="G20" s="257"/>
      <c r="H20" s="98"/>
      <c r="I20" s="257"/>
      <c r="J20" s="257"/>
      <c r="K20" s="28"/>
      <c r="L20" s="17"/>
      <c r="M20" s="11"/>
    </row>
    <row r="21" spans="1:17" x14ac:dyDescent="0.35">
      <c r="A21" s="39" t="s">
        <v>46</v>
      </c>
      <c r="B21" s="39"/>
      <c r="C21" s="101"/>
      <c r="D21" s="258"/>
      <c r="E21" s="31"/>
      <c r="F21" s="31"/>
      <c r="G21" s="31"/>
      <c r="H21" s="28"/>
      <c r="I21" s="31"/>
      <c r="J21" s="11"/>
      <c r="K21" s="17"/>
      <c r="L21" s="17"/>
      <c r="M21" s="11"/>
    </row>
    <row r="22" spans="1:17" x14ac:dyDescent="0.35">
      <c r="A22" s="46" t="s">
        <v>24</v>
      </c>
      <c r="C22" s="102"/>
      <c r="D22" s="259"/>
      <c r="E22" s="111"/>
      <c r="F22" s="111"/>
      <c r="G22" s="111"/>
      <c r="H22" s="182"/>
      <c r="I22" s="185"/>
      <c r="J22" s="177"/>
      <c r="K22" s="173">
        <f>+'PCR Cycle 2'!K27</f>
        <v>157146285</v>
      </c>
      <c r="L22" s="137">
        <f>+'PCR Cycle 2'!L27</f>
        <v>202628383</v>
      </c>
      <c r="M22" s="77">
        <f>+'PCR Cycle 2'!M27</f>
        <v>297583683</v>
      </c>
      <c r="P22" s="47">
        <f>-SUM(K22:M22)</f>
        <v>-657358351</v>
      </c>
    </row>
    <row r="23" spans="1:17" x14ac:dyDescent="0.35">
      <c r="A23" s="46" t="s">
        <v>104</v>
      </c>
      <c r="C23" s="102"/>
      <c r="D23" s="259"/>
      <c r="E23" s="111"/>
      <c r="F23" s="111"/>
      <c r="G23" s="111"/>
      <c r="H23" s="182"/>
      <c r="I23" s="185"/>
      <c r="J23" s="177"/>
      <c r="K23" s="173">
        <f>+'PCR Cycle 2'!K28</f>
        <v>48764650</v>
      </c>
      <c r="L23" s="137">
        <f>+'PCR Cycle 2'!L28</f>
        <v>53736307</v>
      </c>
      <c r="M23" s="77">
        <f>+'PCR Cycle 2'!M28</f>
        <v>60286284</v>
      </c>
      <c r="P23" s="47">
        <f t="shared" ref="P23:P26" si="4">-SUM(K23:M23)</f>
        <v>-162787241</v>
      </c>
    </row>
    <row r="24" spans="1:17" x14ac:dyDescent="0.35">
      <c r="A24" s="46" t="s">
        <v>105</v>
      </c>
      <c r="C24" s="102"/>
      <c r="D24" s="259"/>
      <c r="E24" s="111"/>
      <c r="F24" s="111"/>
      <c r="G24" s="111"/>
      <c r="H24" s="182"/>
      <c r="I24" s="185"/>
      <c r="J24" s="177"/>
      <c r="K24" s="173">
        <f>+'PCR Cycle 2'!K29</f>
        <v>85744765</v>
      </c>
      <c r="L24" s="137">
        <f>+'PCR Cycle 2'!L29</f>
        <v>94486622</v>
      </c>
      <c r="M24" s="77">
        <f>+'PCR Cycle 2'!M29</f>
        <v>106003698</v>
      </c>
      <c r="P24" s="47">
        <f t="shared" si="4"/>
        <v>-286235085</v>
      </c>
    </row>
    <row r="25" spans="1:17" x14ac:dyDescent="0.35">
      <c r="A25" s="46" t="s">
        <v>106</v>
      </c>
      <c r="C25" s="102"/>
      <c r="D25" s="259"/>
      <c r="E25" s="111"/>
      <c r="F25" s="111"/>
      <c r="G25" s="111"/>
      <c r="H25" s="182"/>
      <c r="I25" s="185"/>
      <c r="J25" s="177"/>
      <c r="K25" s="173">
        <f>+'PCR Cycle 2'!K30</f>
        <v>136306009</v>
      </c>
      <c r="L25" s="137">
        <f>+'PCR Cycle 2'!L30</f>
        <v>150202690</v>
      </c>
      <c r="M25" s="77">
        <f>+'PCR Cycle 2'!M30</f>
        <v>168511057</v>
      </c>
      <c r="P25" s="47">
        <f t="shared" si="4"/>
        <v>-455019756</v>
      </c>
    </row>
    <row r="26" spans="1:17" x14ac:dyDescent="0.35">
      <c r="A26" s="46" t="s">
        <v>107</v>
      </c>
      <c r="C26" s="102"/>
      <c r="D26" s="259"/>
      <c r="E26" s="111"/>
      <c r="F26" s="111"/>
      <c r="G26" s="111"/>
      <c r="H26" s="182"/>
      <c r="I26" s="185"/>
      <c r="J26" s="177"/>
      <c r="K26" s="173">
        <f>+'PCR Cycle 2'!K31</f>
        <v>36213740</v>
      </c>
      <c r="L26" s="137">
        <f>+'PCR Cycle 2'!L31</f>
        <v>39905806</v>
      </c>
      <c r="M26" s="77">
        <f>+'PCR Cycle 2'!M31</f>
        <v>44769967</v>
      </c>
      <c r="P26" s="47">
        <f t="shared" si="4"/>
        <v>-120889513</v>
      </c>
    </row>
    <row r="27" spans="1:17" x14ac:dyDescent="0.35">
      <c r="C27" s="99"/>
      <c r="D27" s="147"/>
      <c r="E27" s="31"/>
      <c r="F27" s="31"/>
      <c r="G27" s="31"/>
      <c r="H27" s="28"/>
      <c r="I27" s="31"/>
      <c r="J27" s="11"/>
      <c r="K27" s="17"/>
      <c r="L27" s="17"/>
      <c r="M27" s="11"/>
    </row>
    <row r="28" spans="1:17" x14ac:dyDescent="0.35">
      <c r="A28" s="46" t="s">
        <v>33</v>
      </c>
      <c r="C28" s="99"/>
      <c r="D28" s="147"/>
      <c r="E28" s="18"/>
      <c r="F28" s="18"/>
      <c r="G28" s="18"/>
      <c r="H28" s="91"/>
      <c r="I28" s="18"/>
      <c r="J28" s="11"/>
      <c r="K28" s="57"/>
      <c r="L28" s="57"/>
      <c r="M28" s="58"/>
      <c r="N28" s="63" t="s">
        <v>49</v>
      </c>
      <c r="O28" s="39"/>
      <c r="P28" s="39"/>
    </row>
    <row r="29" spans="1:17" x14ac:dyDescent="0.35">
      <c r="A29" s="46" t="s">
        <v>24</v>
      </c>
      <c r="C29" s="97"/>
      <c r="D29" s="256"/>
      <c r="E29" s="109"/>
      <c r="F29" s="109"/>
      <c r="G29" s="109"/>
      <c r="H29" s="183"/>
      <c r="I29" s="55"/>
      <c r="J29" s="175"/>
      <c r="K29" s="120">
        <f>ROUND(K22*$N29,2)</f>
        <v>0</v>
      </c>
      <c r="L29" s="41">
        <f t="shared" ref="L29:M29" si="5">ROUND(L22*$N29,2)</f>
        <v>0</v>
      </c>
      <c r="M29" s="61">
        <f t="shared" si="5"/>
        <v>0</v>
      </c>
      <c r="N29" s="72">
        <v>0</v>
      </c>
      <c r="P29" s="47">
        <f>-SUM(K29:M29)</f>
        <v>0</v>
      </c>
    </row>
    <row r="30" spans="1:17" x14ac:dyDescent="0.35">
      <c r="A30" s="46" t="s">
        <v>104</v>
      </c>
      <c r="C30" s="97"/>
      <c r="D30" s="256"/>
      <c r="E30" s="109"/>
      <c r="F30" s="109"/>
      <c r="G30" s="109"/>
      <c r="H30" s="183"/>
      <c r="I30" s="55"/>
      <c r="J30" s="175"/>
      <c r="K30" s="120">
        <f t="shared" ref="K30:M32" si="6">ROUND(K23*$N30,2)</f>
        <v>0</v>
      </c>
      <c r="L30" s="41">
        <f t="shared" si="6"/>
        <v>0</v>
      </c>
      <c r="M30" s="61">
        <f t="shared" si="6"/>
        <v>0</v>
      </c>
      <c r="N30" s="72">
        <v>0</v>
      </c>
      <c r="P30" s="47">
        <f t="shared" ref="P30:P33" si="7">-SUM(K30:M30)</f>
        <v>0</v>
      </c>
    </row>
    <row r="31" spans="1:17" x14ac:dyDescent="0.35">
      <c r="A31" s="46" t="s">
        <v>105</v>
      </c>
      <c r="C31" s="97"/>
      <c r="D31" s="256"/>
      <c r="E31" s="109"/>
      <c r="F31" s="109"/>
      <c r="G31" s="109"/>
      <c r="H31" s="183"/>
      <c r="I31" s="55"/>
      <c r="J31" s="175"/>
      <c r="K31" s="120">
        <f t="shared" si="6"/>
        <v>0</v>
      </c>
      <c r="L31" s="41">
        <f t="shared" si="6"/>
        <v>0</v>
      </c>
      <c r="M31" s="61">
        <f t="shared" si="6"/>
        <v>0</v>
      </c>
      <c r="N31" s="72">
        <v>0</v>
      </c>
      <c r="P31" s="47">
        <f t="shared" si="7"/>
        <v>0</v>
      </c>
    </row>
    <row r="32" spans="1:17" x14ac:dyDescent="0.35">
      <c r="A32" s="46" t="s">
        <v>106</v>
      </c>
      <c r="C32" s="97"/>
      <c r="D32" s="256"/>
      <c r="E32" s="109"/>
      <c r="F32" s="109"/>
      <c r="G32" s="109"/>
      <c r="H32" s="183"/>
      <c r="I32" s="55"/>
      <c r="J32" s="175"/>
      <c r="K32" s="120">
        <f t="shared" si="6"/>
        <v>0</v>
      </c>
      <c r="L32" s="41">
        <f t="shared" si="6"/>
        <v>0</v>
      </c>
      <c r="M32" s="61">
        <f t="shared" si="6"/>
        <v>0</v>
      </c>
      <c r="N32" s="72">
        <v>0</v>
      </c>
      <c r="P32" s="47">
        <f t="shared" si="7"/>
        <v>0</v>
      </c>
    </row>
    <row r="33" spans="1:16" x14ac:dyDescent="0.35">
      <c r="A33" s="46" t="s">
        <v>107</v>
      </c>
      <c r="C33" s="97"/>
      <c r="D33" s="256"/>
      <c r="E33" s="109"/>
      <c r="F33" s="109"/>
      <c r="G33" s="109"/>
      <c r="H33" s="183"/>
      <c r="I33" s="55"/>
      <c r="J33" s="175"/>
      <c r="K33" s="120">
        <f>ROUND(K26*$N33,2)</f>
        <v>0</v>
      </c>
      <c r="L33" s="41">
        <f>ROUND(L26*$N33,2)</f>
        <v>0</v>
      </c>
      <c r="M33" s="61">
        <f>ROUND(M26*$N33,2)</f>
        <v>0</v>
      </c>
      <c r="N33" s="72">
        <v>0</v>
      </c>
      <c r="P33" s="47">
        <f t="shared" si="7"/>
        <v>0</v>
      </c>
    </row>
    <row r="34" spans="1:16" x14ac:dyDescent="0.35">
      <c r="C34" s="67"/>
      <c r="D34" s="68"/>
      <c r="E34" s="18"/>
      <c r="F34" s="18"/>
      <c r="G34" s="18"/>
      <c r="H34" s="91"/>
      <c r="I34" s="18"/>
      <c r="J34" s="11"/>
      <c r="K34" s="56"/>
      <c r="L34" s="56"/>
      <c r="M34" s="13"/>
      <c r="N34" s="4"/>
    </row>
    <row r="35" spans="1:16" ht="15" thickBot="1" x14ac:dyDescent="0.4">
      <c r="A35" s="46" t="s">
        <v>14</v>
      </c>
      <c r="C35" s="103"/>
      <c r="D35" s="260"/>
      <c r="E35" s="112"/>
      <c r="F35" s="112"/>
      <c r="G35" s="113"/>
      <c r="H35" s="26"/>
      <c r="I35" s="119"/>
      <c r="J35" s="176"/>
      <c r="K35" s="174">
        <f>ROUND((SUM(J45:J49)+SUM(J53:J57)+SUM(K38:K42)/2)*K$51,2)</f>
        <v>0</v>
      </c>
      <c r="L35" s="138">
        <f>ROUND((SUM(K45:K49)+SUM(K53:K57)+SUM(L38:L42)/2)*L$51,2)</f>
        <v>0</v>
      </c>
      <c r="M35" s="81"/>
      <c r="P35" s="47">
        <f t="shared" ref="P35" si="8">-SUM(K35:M35)</f>
        <v>0</v>
      </c>
    </row>
    <row r="36" spans="1:16" x14ac:dyDescent="0.35">
      <c r="C36" s="99"/>
      <c r="D36" s="147"/>
      <c r="E36" s="31"/>
      <c r="F36" s="31"/>
      <c r="G36" s="31"/>
      <c r="H36" s="28"/>
      <c r="I36" s="31"/>
      <c r="J36" s="11"/>
      <c r="K36" s="17"/>
      <c r="L36" s="17"/>
      <c r="M36" s="11"/>
    </row>
    <row r="37" spans="1:16" x14ac:dyDescent="0.35">
      <c r="A37" s="46" t="s">
        <v>51</v>
      </c>
      <c r="C37" s="99"/>
      <c r="D37" s="147"/>
      <c r="E37" s="31"/>
      <c r="F37" s="31"/>
      <c r="G37" s="31"/>
      <c r="H37" s="28"/>
      <c r="I37" s="31"/>
      <c r="J37" s="11"/>
      <c r="K37" s="17"/>
      <c r="L37" s="17"/>
      <c r="M37" s="11"/>
    </row>
    <row r="38" spans="1:16" x14ac:dyDescent="0.35">
      <c r="A38" s="46" t="s">
        <v>24</v>
      </c>
      <c r="C38" s="40">
        <f t="shared" ref="C38:M42" si="9">C15-C29</f>
        <v>0</v>
      </c>
      <c r="D38" s="120">
        <f t="shared" si="9"/>
        <v>0</v>
      </c>
      <c r="E38" s="41">
        <f t="shared" si="9"/>
        <v>0</v>
      </c>
      <c r="F38" s="41">
        <f t="shared" si="9"/>
        <v>39392.199999999997</v>
      </c>
      <c r="G38" s="108">
        <f t="shared" si="9"/>
        <v>0</v>
      </c>
      <c r="H38" s="40">
        <f t="shared" si="9"/>
        <v>0</v>
      </c>
      <c r="I38" s="41">
        <f t="shared" si="9"/>
        <v>0</v>
      </c>
      <c r="J38" s="61">
        <f t="shared" si="9"/>
        <v>0</v>
      </c>
      <c r="K38" s="120">
        <f t="shared" si="9"/>
        <v>0</v>
      </c>
      <c r="L38" s="41">
        <f t="shared" si="9"/>
        <v>0</v>
      </c>
      <c r="M38" s="49">
        <f t="shared" si="9"/>
        <v>0</v>
      </c>
    </row>
    <row r="39" spans="1:16" x14ac:dyDescent="0.35">
      <c r="A39" s="46" t="s">
        <v>104</v>
      </c>
      <c r="C39" s="40">
        <f t="shared" si="9"/>
        <v>0</v>
      </c>
      <c r="D39" s="120">
        <f t="shared" si="9"/>
        <v>0</v>
      </c>
      <c r="E39" s="41">
        <f t="shared" si="9"/>
        <v>0</v>
      </c>
      <c r="F39" s="41">
        <f t="shared" si="9"/>
        <v>2884.6499999999996</v>
      </c>
      <c r="G39" s="108">
        <f t="shared" si="9"/>
        <v>0</v>
      </c>
      <c r="H39" s="40">
        <f t="shared" si="9"/>
        <v>0</v>
      </c>
      <c r="I39" s="41">
        <f t="shared" si="9"/>
        <v>0</v>
      </c>
      <c r="J39" s="61">
        <f t="shared" si="9"/>
        <v>0</v>
      </c>
      <c r="K39" s="120">
        <f t="shared" si="9"/>
        <v>0</v>
      </c>
      <c r="L39" s="41">
        <f t="shared" si="9"/>
        <v>0</v>
      </c>
      <c r="M39" s="49">
        <f t="shared" si="9"/>
        <v>0</v>
      </c>
    </row>
    <row r="40" spans="1:16" x14ac:dyDescent="0.35">
      <c r="A40" s="46" t="s">
        <v>105</v>
      </c>
      <c r="C40" s="40">
        <f t="shared" si="9"/>
        <v>0</v>
      </c>
      <c r="D40" s="120">
        <f t="shared" si="9"/>
        <v>0</v>
      </c>
      <c r="E40" s="41">
        <f t="shared" si="9"/>
        <v>0</v>
      </c>
      <c r="F40" s="41">
        <f t="shared" si="9"/>
        <v>7264.87</v>
      </c>
      <c r="G40" s="108">
        <f t="shared" si="9"/>
        <v>0</v>
      </c>
      <c r="H40" s="40">
        <f t="shared" si="9"/>
        <v>0</v>
      </c>
      <c r="I40" s="41">
        <f t="shared" si="9"/>
        <v>0</v>
      </c>
      <c r="J40" s="61">
        <f t="shared" si="9"/>
        <v>0</v>
      </c>
      <c r="K40" s="120">
        <f t="shared" si="9"/>
        <v>0</v>
      </c>
      <c r="L40" s="41">
        <f t="shared" si="9"/>
        <v>0</v>
      </c>
      <c r="M40" s="49">
        <f t="shared" si="9"/>
        <v>0</v>
      </c>
    </row>
    <row r="41" spans="1:16" x14ac:dyDescent="0.35">
      <c r="A41" s="46" t="s">
        <v>106</v>
      </c>
      <c r="C41" s="40">
        <f t="shared" si="9"/>
        <v>0</v>
      </c>
      <c r="D41" s="120">
        <f t="shared" si="9"/>
        <v>0</v>
      </c>
      <c r="E41" s="41">
        <f t="shared" si="9"/>
        <v>0</v>
      </c>
      <c r="F41" s="41">
        <f t="shared" si="9"/>
        <v>12162.75</v>
      </c>
      <c r="G41" s="108">
        <f t="shared" si="9"/>
        <v>0</v>
      </c>
      <c r="H41" s="40">
        <f t="shared" si="9"/>
        <v>0</v>
      </c>
      <c r="I41" s="41">
        <f t="shared" si="9"/>
        <v>0</v>
      </c>
      <c r="J41" s="61">
        <f t="shared" si="9"/>
        <v>0</v>
      </c>
      <c r="K41" s="120">
        <f t="shared" si="9"/>
        <v>0</v>
      </c>
      <c r="L41" s="41">
        <f t="shared" si="9"/>
        <v>0</v>
      </c>
      <c r="M41" s="49">
        <f t="shared" si="9"/>
        <v>0</v>
      </c>
    </row>
    <row r="42" spans="1:16" x14ac:dyDescent="0.35">
      <c r="A42" s="46" t="s">
        <v>107</v>
      </c>
      <c r="C42" s="40">
        <f t="shared" si="9"/>
        <v>0</v>
      </c>
      <c r="D42" s="120">
        <f t="shared" si="9"/>
        <v>0</v>
      </c>
      <c r="E42" s="41">
        <f t="shared" si="9"/>
        <v>0</v>
      </c>
      <c r="F42" s="41">
        <f t="shared" si="9"/>
        <v>12803.18</v>
      </c>
      <c r="G42" s="108">
        <f t="shared" si="9"/>
        <v>0</v>
      </c>
      <c r="H42" s="40">
        <f t="shared" si="9"/>
        <v>0</v>
      </c>
      <c r="I42" s="41">
        <f t="shared" si="9"/>
        <v>0</v>
      </c>
      <c r="J42" s="61">
        <f t="shared" si="9"/>
        <v>0</v>
      </c>
      <c r="K42" s="120">
        <f t="shared" si="9"/>
        <v>0</v>
      </c>
      <c r="L42" s="41">
        <f t="shared" si="9"/>
        <v>0</v>
      </c>
      <c r="M42" s="49">
        <f t="shared" si="9"/>
        <v>0</v>
      </c>
    </row>
    <row r="43" spans="1:16" x14ac:dyDescent="0.35">
      <c r="C43" s="99"/>
      <c r="D43" s="147"/>
      <c r="E43" s="31"/>
      <c r="F43" s="31"/>
      <c r="G43" s="31"/>
      <c r="H43" s="28"/>
      <c r="I43" s="31"/>
      <c r="J43" s="11"/>
      <c r="K43" s="17"/>
      <c r="L43" s="17"/>
      <c r="M43" s="11"/>
    </row>
    <row r="44" spans="1:16" ht="15" thickBot="1" x14ac:dyDescent="0.4">
      <c r="A44" s="46" t="s">
        <v>52</v>
      </c>
      <c r="C44" s="104"/>
      <c r="D44" s="261"/>
      <c r="E44" s="31"/>
      <c r="F44" s="31"/>
      <c r="G44" s="31"/>
      <c r="H44" s="28"/>
      <c r="I44" s="31"/>
      <c r="J44" s="11"/>
      <c r="K44" s="17"/>
      <c r="L44" s="17"/>
      <c r="M44" s="11"/>
    </row>
    <row r="45" spans="1:16" x14ac:dyDescent="0.35">
      <c r="A45" s="46" t="s">
        <v>24</v>
      </c>
      <c r="B45" s="307"/>
      <c r="C45" s="41">
        <f t="shared" ref="C45:M49" si="10">B45+C38+B53</f>
        <v>0</v>
      </c>
      <c r="D45" s="41">
        <f t="shared" si="10"/>
        <v>0</v>
      </c>
      <c r="E45" s="41">
        <f t="shared" si="10"/>
        <v>0</v>
      </c>
      <c r="F45" s="41">
        <f t="shared" si="10"/>
        <v>39392.199999999997</v>
      </c>
      <c r="G45" s="108">
        <f t="shared" si="10"/>
        <v>39392.199999999997</v>
      </c>
      <c r="H45" s="40">
        <f t="shared" si="10"/>
        <v>39392.199999999997</v>
      </c>
      <c r="I45" s="41">
        <f t="shared" si="10"/>
        <v>39392.199999999997</v>
      </c>
      <c r="J45" s="61">
        <f t="shared" si="10"/>
        <v>39392.199999999997</v>
      </c>
      <c r="K45" s="120">
        <f t="shared" si="10"/>
        <v>39392.199999999997</v>
      </c>
      <c r="L45" s="41">
        <f t="shared" si="10"/>
        <v>39392.199999999997</v>
      </c>
      <c r="M45" s="49">
        <f t="shared" si="10"/>
        <v>39392.199999999997</v>
      </c>
    </row>
    <row r="46" spans="1:16" x14ac:dyDescent="0.35">
      <c r="A46" s="46" t="s">
        <v>104</v>
      </c>
      <c r="B46" s="309"/>
      <c r="C46" s="41">
        <f t="shared" si="10"/>
        <v>0</v>
      </c>
      <c r="D46" s="41">
        <f t="shared" si="10"/>
        <v>0</v>
      </c>
      <c r="E46" s="41">
        <f t="shared" si="10"/>
        <v>0</v>
      </c>
      <c r="F46" s="41">
        <f t="shared" si="10"/>
        <v>2884.6499999999996</v>
      </c>
      <c r="G46" s="108">
        <f t="shared" si="10"/>
        <v>2884.6499999999996</v>
      </c>
      <c r="H46" s="40">
        <f t="shared" si="10"/>
        <v>2884.6499999999996</v>
      </c>
      <c r="I46" s="41">
        <f t="shared" si="10"/>
        <v>2884.6499999999996</v>
      </c>
      <c r="J46" s="61">
        <f t="shared" si="10"/>
        <v>2884.6499999999996</v>
      </c>
      <c r="K46" s="120">
        <f t="shared" si="10"/>
        <v>2884.6499999999996</v>
      </c>
      <c r="L46" s="41">
        <f t="shared" si="10"/>
        <v>2884.6499999999996</v>
      </c>
      <c r="M46" s="49">
        <f t="shared" si="10"/>
        <v>2884.6499999999996</v>
      </c>
    </row>
    <row r="47" spans="1:16" x14ac:dyDescent="0.35">
      <c r="A47" s="46" t="s">
        <v>105</v>
      </c>
      <c r="B47" s="309"/>
      <c r="C47" s="41">
        <f t="shared" si="10"/>
        <v>0</v>
      </c>
      <c r="D47" s="41">
        <f t="shared" si="10"/>
        <v>0</v>
      </c>
      <c r="E47" s="41">
        <f t="shared" si="10"/>
        <v>0</v>
      </c>
      <c r="F47" s="41">
        <f t="shared" si="10"/>
        <v>7264.87</v>
      </c>
      <c r="G47" s="108">
        <f t="shared" si="10"/>
        <v>7264.87</v>
      </c>
      <c r="H47" s="40">
        <f t="shared" si="10"/>
        <v>7264.87</v>
      </c>
      <c r="I47" s="41">
        <f t="shared" si="10"/>
        <v>7264.87</v>
      </c>
      <c r="J47" s="61">
        <f t="shared" si="10"/>
        <v>7264.87</v>
      </c>
      <c r="K47" s="120">
        <f t="shared" si="10"/>
        <v>7264.87</v>
      </c>
      <c r="L47" s="41">
        <f t="shared" si="10"/>
        <v>7264.87</v>
      </c>
      <c r="M47" s="49">
        <f t="shared" si="10"/>
        <v>7264.87</v>
      </c>
    </row>
    <row r="48" spans="1:16" x14ac:dyDescent="0.35">
      <c r="A48" s="46" t="s">
        <v>106</v>
      </c>
      <c r="B48" s="309"/>
      <c r="C48" s="41">
        <f t="shared" si="10"/>
        <v>0</v>
      </c>
      <c r="D48" s="41">
        <f t="shared" si="10"/>
        <v>0</v>
      </c>
      <c r="E48" s="41">
        <f t="shared" si="10"/>
        <v>0</v>
      </c>
      <c r="F48" s="41">
        <f t="shared" si="10"/>
        <v>12162.75</v>
      </c>
      <c r="G48" s="108">
        <f t="shared" si="10"/>
        <v>12162.75</v>
      </c>
      <c r="H48" s="40">
        <f t="shared" si="10"/>
        <v>12162.75</v>
      </c>
      <c r="I48" s="41">
        <f t="shared" si="10"/>
        <v>12162.75</v>
      </c>
      <c r="J48" s="61">
        <f t="shared" si="10"/>
        <v>12162.75</v>
      </c>
      <c r="K48" s="120">
        <f t="shared" si="10"/>
        <v>12162.75</v>
      </c>
      <c r="L48" s="41">
        <f t="shared" si="10"/>
        <v>12162.75</v>
      </c>
      <c r="M48" s="49">
        <f t="shared" si="10"/>
        <v>12162.75</v>
      </c>
    </row>
    <row r="49" spans="1:16" ht="15" thickBot="1" x14ac:dyDescent="0.4">
      <c r="A49" s="46" t="s">
        <v>107</v>
      </c>
      <c r="B49" s="308"/>
      <c r="C49" s="41">
        <f>B49+C42+B57</f>
        <v>0</v>
      </c>
      <c r="D49" s="41">
        <f t="shared" si="10"/>
        <v>0</v>
      </c>
      <c r="E49" s="41">
        <f t="shared" si="10"/>
        <v>0</v>
      </c>
      <c r="F49" s="41">
        <f t="shared" si="10"/>
        <v>12803.18</v>
      </c>
      <c r="G49" s="108">
        <f t="shared" si="10"/>
        <v>12803.18</v>
      </c>
      <c r="H49" s="40">
        <f t="shared" si="10"/>
        <v>12803.18</v>
      </c>
      <c r="I49" s="41">
        <f t="shared" si="10"/>
        <v>12803.18</v>
      </c>
      <c r="J49" s="61">
        <f t="shared" si="10"/>
        <v>12803.18</v>
      </c>
      <c r="K49" s="120">
        <f t="shared" si="10"/>
        <v>12803.18</v>
      </c>
      <c r="L49" s="41">
        <f t="shared" si="10"/>
        <v>12803.18</v>
      </c>
      <c r="M49" s="49">
        <f t="shared" si="10"/>
        <v>12803.18</v>
      </c>
    </row>
    <row r="50" spans="1:16" x14ac:dyDescent="0.35">
      <c r="C50" s="99"/>
      <c r="D50" s="147"/>
      <c r="E50" s="31"/>
      <c r="F50" s="31"/>
      <c r="G50" s="31"/>
      <c r="H50" s="28"/>
      <c r="I50" s="31"/>
      <c r="J50" s="11"/>
      <c r="K50" s="17"/>
      <c r="L50" s="17"/>
      <c r="M50" s="11"/>
    </row>
    <row r="51" spans="1:16" x14ac:dyDescent="0.35">
      <c r="A51" s="39" t="s">
        <v>48</v>
      </c>
      <c r="B51" s="39"/>
      <c r="C51" s="104"/>
      <c r="D51" s="261"/>
      <c r="E51" s="331">
        <v>0</v>
      </c>
      <c r="F51" s="331">
        <v>0</v>
      </c>
      <c r="G51" s="331">
        <v>0</v>
      </c>
      <c r="H51" s="332">
        <v>0</v>
      </c>
      <c r="I51" s="331">
        <v>0</v>
      </c>
      <c r="J51" s="333">
        <v>0</v>
      </c>
      <c r="K51" s="331">
        <v>0</v>
      </c>
      <c r="L51" s="331">
        <v>0</v>
      </c>
      <c r="M51" s="92"/>
    </row>
    <row r="52" spans="1:16" x14ac:dyDescent="0.35">
      <c r="A52" s="39" t="s">
        <v>36</v>
      </c>
      <c r="B52" s="39"/>
      <c r="C52" s="99"/>
      <c r="D52" s="147"/>
      <c r="E52" s="31"/>
      <c r="F52" s="31"/>
      <c r="G52" s="31"/>
      <c r="H52" s="28"/>
      <c r="I52" s="31"/>
      <c r="J52" s="11"/>
      <c r="K52" s="17"/>
      <c r="L52" s="17"/>
      <c r="M52" s="11"/>
      <c r="N52" s="71"/>
    </row>
    <row r="53" spans="1:16" x14ac:dyDescent="0.35">
      <c r="A53" s="46" t="s">
        <v>24</v>
      </c>
      <c r="C53" s="305"/>
      <c r="D53" s="120"/>
      <c r="E53" s="41">
        <f>ROUND((C45+C53+D53+E38/2)*E$51,2)</f>
        <v>0</v>
      </c>
      <c r="F53" s="41">
        <f t="shared" ref="F53:L57" si="11">ROUND((E45+E53+F38/2)*F$51,2)</f>
        <v>0</v>
      </c>
      <c r="G53" s="108">
        <f t="shared" si="11"/>
        <v>0</v>
      </c>
      <c r="H53" s="40">
        <f t="shared" si="11"/>
        <v>0</v>
      </c>
      <c r="I53" s="120">
        <f t="shared" si="11"/>
        <v>0</v>
      </c>
      <c r="J53" s="61">
        <f t="shared" si="11"/>
        <v>0</v>
      </c>
      <c r="K53" s="120">
        <f t="shared" si="11"/>
        <v>0</v>
      </c>
      <c r="L53" s="120">
        <f t="shared" si="11"/>
        <v>0</v>
      </c>
      <c r="M53" s="49"/>
      <c r="P53" s="47">
        <f t="shared" ref="P53:P57" si="12">-SUM(K53:M53)</f>
        <v>0</v>
      </c>
    </row>
    <row r="54" spans="1:16" x14ac:dyDescent="0.35">
      <c r="A54" s="46" t="s">
        <v>104</v>
      </c>
      <c r="C54" s="310"/>
      <c r="D54" s="262"/>
      <c r="E54" s="41">
        <f t="shared" ref="E54:E57" si="13">ROUND((C46+C54+D54+E39/2)*E$51,2)</f>
        <v>0</v>
      </c>
      <c r="F54" s="41">
        <f t="shared" si="11"/>
        <v>0</v>
      </c>
      <c r="G54" s="108">
        <f t="shared" si="11"/>
        <v>0</v>
      </c>
      <c r="H54" s="40">
        <f t="shared" si="11"/>
        <v>0</v>
      </c>
      <c r="I54" s="120">
        <f t="shared" si="11"/>
        <v>0</v>
      </c>
      <c r="J54" s="61">
        <f t="shared" si="11"/>
        <v>0</v>
      </c>
      <c r="K54" s="120">
        <f t="shared" si="11"/>
        <v>0</v>
      </c>
      <c r="L54" s="120">
        <f t="shared" si="11"/>
        <v>0</v>
      </c>
      <c r="M54" s="49"/>
      <c r="P54" s="47">
        <f t="shared" si="12"/>
        <v>0</v>
      </c>
    </row>
    <row r="55" spans="1:16" x14ac:dyDescent="0.35">
      <c r="A55" s="46" t="s">
        <v>105</v>
      </c>
      <c r="C55" s="310"/>
      <c r="D55" s="262"/>
      <c r="E55" s="41">
        <f t="shared" si="13"/>
        <v>0</v>
      </c>
      <c r="F55" s="41">
        <f t="shared" si="11"/>
        <v>0</v>
      </c>
      <c r="G55" s="108">
        <f t="shared" si="11"/>
        <v>0</v>
      </c>
      <c r="H55" s="40">
        <f t="shared" si="11"/>
        <v>0</v>
      </c>
      <c r="I55" s="120">
        <f t="shared" si="11"/>
        <v>0</v>
      </c>
      <c r="J55" s="61">
        <f t="shared" si="11"/>
        <v>0</v>
      </c>
      <c r="K55" s="120">
        <f t="shared" si="11"/>
        <v>0</v>
      </c>
      <c r="L55" s="120">
        <f t="shared" si="11"/>
        <v>0</v>
      </c>
      <c r="M55" s="49"/>
      <c r="P55" s="47">
        <f t="shared" si="12"/>
        <v>0</v>
      </c>
    </row>
    <row r="56" spans="1:16" x14ac:dyDescent="0.35">
      <c r="A56" s="46" t="s">
        <v>106</v>
      </c>
      <c r="C56" s="310"/>
      <c r="D56" s="262"/>
      <c r="E56" s="41">
        <f t="shared" si="13"/>
        <v>0</v>
      </c>
      <c r="F56" s="41">
        <f t="shared" si="11"/>
        <v>0</v>
      </c>
      <c r="G56" s="108">
        <f t="shared" si="11"/>
        <v>0</v>
      </c>
      <c r="H56" s="40">
        <f t="shared" si="11"/>
        <v>0</v>
      </c>
      <c r="I56" s="120">
        <f t="shared" si="11"/>
        <v>0</v>
      </c>
      <c r="J56" s="61">
        <f t="shared" si="11"/>
        <v>0</v>
      </c>
      <c r="K56" s="120">
        <f t="shared" si="11"/>
        <v>0</v>
      </c>
      <c r="L56" s="120">
        <f t="shared" si="11"/>
        <v>0</v>
      </c>
      <c r="M56" s="49"/>
      <c r="P56" s="47">
        <f t="shared" si="12"/>
        <v>0</v>
      </c>
    </row>
    <row r="57" spans="1:16" ht="15" thickBot="1" x14ac:dyDescent="0.4">
      <c r="A57" s="46" t="s">
        <v>107</v>
      </c>
      <c r="C57" s="306"/>
      <c r="D57" s="262"/>
      <c r="E57" s="41">
        <f t="shared" si="13"/>
        <v>0</v>
      </c>
      <c r="F57" s="41">
        <f t="shared" si="11"/>
        <v>0</v>
      </c>
      <c r="G57" s="108">
        <f t="shared" si="11"/>
        <v>0</v>
      </c>
      <c r="H57" s="40">
        <f t="shared" si="11"/>
        <v>0</v>
      </c>
      <c r="I57" s="120">
        <f t="shared" si="11"/>
        <v>0</v>
      </c>
      <c r="J57" s="61">
        <f t="shared" si="11"/>
        <v>0</v>
      </c>
      <c r="K57" s="120">
        <f t="shared" si="11"/>
        <v>0</v>
      </c>
      <c r="L57" s="120">
        <f t="shared" si="11"/>
        <v>0</v>
      </c>
      <c r="M57" s="49"/>
      <c r="N57" s="301"/>
      <c r="O57" s="301"/>
      <c r="P57" s="47">
        <f t="shared" si="12"/>
        <v>0</v>
      </c>
    </row>
    <row r="58" spans="1:16" ht="15.5" thickTop="1" thickBot="1" x14ac:dyDescent="0.4">
      <c r="A58" s="54" t="s">
        <v>22</v>
      </c>
      <c r="B58" s="54"/>
      <c r="C58" s="114">
        <v>0</v>
      </c>
      <c r="D58" s="263"/>
      <c r="E58" s="32">
        <f t="shared" ref="E58:M58" si="14">SUM(E53:E57)+SUM(E45:E49)-E61</f>
        <v>0</v>
      </c>
      <c r="F58" s="32">
        <f t="shared" si="14"/>
        <v>0</v>
      </c>
      <c r="G58" s="50">
        <f t="shared" si="14"/>
        <v>0</v>
      </c>
      <c r="H58" s="121">
        <f t="shared" si="14"/>
        <v>0</v>
      </c>
      <c r="I58" s="32">
        <f t="shared" si="14"/>
        <v>0</v>
      </c>
      <c r="J58" s="62">
        <f t="shared" si="14"/>
        <v>0</v>
      </c>
      <c r="K58" s="161">
        <f t="shared" si="14"/>
        <v>0</v>
      </c>
      <c r="L58" s="32">
        <f t="shared" si="14"/>
        <v>0</v>
      </c>
      <c r="M58" s="96">
        <f t="shared" si="14"/>
        <v>0</v>
      </c>
    </row>
    <row r="59" spans="1:16" ht="15.5" thickTop="1" thickBot="1" x14ac:dyDescent="0.4">
      <c r="A59" s="54" t="s">
        <v>23</v>
      </c>
      <c r="B59" s="54"/>
      <c r="C59" s="107">
        <v>0</v>
      </c>
      <c r="D59" s="264"/>
      <c r="E59" s="32">
        <f t="shared" ref="E59:J59" si="15">SUM(E53:E57)-E35</f>
        <v>0</v>
      </c>
      <c r="F59" s="32">
        <f t="shared" si="15"/>
        <v>0</v>
      </c>
      <c r="G59" s="50">
        <f t="shared" ref="G59:I59" si="16">SUM(G53:G57)-G35</f>
        <v>0</v>
      </c>
      <c r="H59" s="51">
        <f t="shared" si="16"/>
        <v>0</v>
      </c>
      <c r="I59" s="32">
        <f t="shared" si="16"/>
        <v>0</v>
      </c>
      <c r="J59" s="62">
        <f t="shared" si="15"/>
        <v>0</v>
      </c>
      <c r="K59" s="161">
        <f t="shared" ref="K59:M59" si="17">SUM(K53:K57)-K35</f>
        <v>0</v>
      </c>
      <c r="L59" s="32">
        <f t="shared" si="17"/>
        <v>0</v>
      </c>
      <c r="M59" s="96">
        <f t="shared" si="17"/>
        <v>0</v>
      </c>
    </row>
    <row r="60" spans="1:16" ht="15.5" thickTop="1" thickBot="1" x14ac:dyDescent="0.4">
      <c r="C60" s="99"/>
      <c r="D60" s="147"/>
      <c r="E60" s="17"/>
      <c r="F60" s="17"/>
      <c r="G60" s="17"/>
      <c r="H60" s="10"/>
      <c r="I60" s="17"/>
      <c r="J60" s="11"/>
      <c r="K60" s="17"/>
      <c r="L60" s="17"/>
      <c r="M60" s="11"/>
    </row>
    <row r="61" spans="1:16" ht="15" thickBot="1" x14ac:dyDescent="0.4">
      <c r="A61" s="46" t="s">
        <v>35</v>
      </c>
      <c r="B61" s="116">
        <f>SUM(B45:B49)</f>
        <v>0</v>
      </c>
      <c r="C61" s="40">
        <f>(SUM(C15:C19)-SUM(C29:C33))+SUM(C53:C57)+B61</f>
        <v>0</v>
      </c>
      <c r="D61" s="41">
        <f>(SUM(D15:D19)-SUM(D29:D33))+SUM(D53:D57)+C61</f>
        <v>0</v>
      </c>
      <c r="E61" s="41">
        <f>(SUM(E15:E19)-SUM(E29:E33))+SUM(D53:E57)+C61</f>
        <v>0</v>
      </c>
      <c r="F61" s="41">
        <f t="shared" ref="F61:M61" si="18">(SUM(F15:F19)-SUM(F29:F33))+SUM(F53:F57)+E61</f>
        <v>74507.649999999994</v>
      </c>
      <c r="G61" s="108">
        <f t="shared" si="18"/>
        <v>74507.649999999994</v>
      </c>
      <c r="H61" s="40">
        <f t="shared" si="18"/>
        <v>74507.649999999994</v>
      </c>
      <c r="I61" s="41">
        <f t="shared" si="18"/>
        <v>74507.649999999994</v>
      </c>
      <c r="J61" s="61">
        <f t="shared" si="18"/>
        <v>74507.649999999994</v>
      </c>
      <c r="K61" s="120">
        <f t="shared" si="18"/>
        <v>74507.649999999994</v>
      </c>
      <c r="L61" s="41">
        <f t="shared" si="18"/>
        <v>74507.649999999994</v>
      </c>
      <c r="M61" s="61">
        <f t="shared" si="18"/>
        <v>74507.649999999994</v>
      </c>
    </row>
    <row r="62" spans="1:16" x14ac:dyDescent="0.35">
      <c r="A62" s="46" t="s">
        <v>12</v>
      </c>
      <c r="C62" s="117"/>
      <c r="D62" s="17"/>
      <c r="E62" s="56"/>
      <c r="F62" s="56"/>
      <c r="G62" s="56"/>
      <c r="H62" s="12"/>
      <c r="I62" s="56"/>
      <c r="J62" s="11"/>
      <c r="K62" s="17"/>
      <c r="L62" s="17"/>
      <c r="M62" s="11"/>
    </row>
    <row r="63" spans="1:16" ht="15" thickBot="1" x14ac:dyDescent="0.4">
      <c r="B63" s="17"/>
      <c r="C63" s="43"/>
      <c r="D63" s="44"/>
      <c r="E63" s="44"/>
      <c r="F63" s="44"/>
      <c r="G63" s="44"/>
      <c r="H63" s="43"/>
      <c r="I63" s="44"/>
      <c r="J63" s="45"/>
      <c r="K63" s="44"/>
      <c r="L63" s="44"/>
      <c r="M63" s="45"/>
    </row>
    <row r="64" spans="1:16" x14ac:dyDescent="0.35">
      <c r="D64" s="47"/>
    </row>
    <row r="65" spans="1:13" x14ac:dyDescent="0.35">
      <c r="A65" s="69" t="s">
        <v>11</v>
      </c>
      <c r="B65" s="69"/>
      <c r="C65" s="69"/>
      <c r="D65" s="69"/>
    </row>
    <row r="66" spans="1:13" ht="29.25" customHeight="1" x14ac:dyDescent="0.35">
      <c r="A66" s="350" t="s">
        <v>287</v>
      </c>
      <c r="B66" s="350"/>
      <c r="C66" s="350"/>
      <c r="D66" s="350"/>
      <c r="E66" s="350"/>
      <c r="F66" s="350"/>
      <c r="G66" s="350"/>
      <c r="H66" s="350"/>
      <c r="I66" s="350"/>
      <c r="J66" s="350"/>
      <c r="K66" s="322"/>
      <c r="L66" s="322"/>
      <c r="M66" s="322"/>
    </row>
    <row r="67" spans="1:13" ht="31.5" customHeight="1" x14ac:dyDescent="0.35">
      <c r="A67" s="350" t="s">
        <v>288</v>
      </c>
      <c r="B67" s="350"/>
      <c r="C67" s="350"/>
      <c r="D67" s="350"/>
      <c r="E67" s="350"/>
      <c r="F67" s="350"/>
      <c r="G67" s="350"/>
      <c r="H67" s="350"/>
      <c r="I67" s="350"/>
      <c r="J67" s="350"/>
      <c r="K67" s="322"/>
      <c r="L67" s="322"/>
      <c r="M67" s="322"/>
    </row>
    <row r="68" spans="1:13" ht="57" customHeight="1" x14ac:dyDescent="0.35">
      <c r="A68" s="350" t="s">
        <v>275</v>
      </c>
      <c r="B68" s="350"/>
      <c r="C68" s="350"/>
      <c r="D68" s="350"/>
      <c r="E68" s="350"/>
      <c r="F68" s="350"/>
      <c r="G68" s="350"/>
      <c r="H68" s="350"/>
      <c r="I68" s="350"/>
      <c r="J68" s="350"/>
      <c r="K68" s="322"/>
      <c r="L68" s="322"/>
      <c r="M68" s="322"/>
    </row>
    <row r="69" spans="1:13" x14ac:dyDescent="0.35">
      <c r="A69" s="350" t="s">
        <v>303</v>
      </c>
      <c r="B69" s="350"/>
      <c r="C69" s="350"/>
      <c r="D69" s="350"/>
      <c r="E69" s="350"/>
      <c r="F69" s="350"/>
      <c r="G69" s="350"/>
      <c r="H69" s="350"/>
      <c r="I69" s="350"/>
      <c r="J69" s="350"/>
    </row>
    <row r="70" spans="1:13" x14ac:dyDescent="0.35">
      <c r="A70" s="63" t="s">
        <v>306</v>
      </c>
      <c r="B70" s="63"/>
      <c r="C70" s="342"/>
      <c r="D70" s="63"/>
      <c r="E70" s="39"/>
      <c r="F70" s="39"/>
      <c r="G70" s="39"/>
      <c r="H70" s="39"/>
      <c r="I70" s="39"/>
      <c r="J70" s="334"/>
    </row>
    <row r="71" spans="1:13" x14ac:dyDescent="0.35">
      <c r="A71" s="63" t="s">
        <v>50</v>
      </c>
      <c r="B71" s="63"/>
      <c r="C71" s="63"/>
      <c r="D71" s="63"/>
      <c r="E71" s="39"/>
      <c r="F71" s="39"/>
      <c r="G71" s="39"/>
      <c r="H71" s="39"/>
      <c r="I71" s="39"/>
      <c r="J71" s="334"/>
    </row>
    <row r="72" spans="1:13" x14ac:dyDescent="0.35">
      <c r="A72" s="3"/>
    </row>
    <row r="73" spans="1:13" ht="33.75" customHeight="1" x14ac:dyDescent="0.35">
      <c r="A73" s="346"/>
      <c r="B73" s="346"/>
      <c r="C73" s="346"/>
      <c r="D73" s="346"/>
      <c r="E73" s="346"/>
      <c r="F73" s="346"/>
      <c r="G73" s="346"/>
    </row>
    <row r="75" spans="1:13" ht="31.5" customHeight="1" x14ac:dyDescent="0.35">
      <c r="A75" s="346"/>
      <c r="B75" s="346"/>
      <c r="C75" s="346"/>
      <c r="D75" s="346"/>
      <c r="E75" s="346"/>
      <c r="F75" s="346"/>
      <c r="G75" s="346"/>
    </row>
    <row r="81" spans="14:14" x14ac:dyDescent="0.35">
      <c r="N81" s="8"/>
    </row>
  </sheetData>
  <mergeCells count="9">
    <mergeCell ref="A73:G73"/>
    <mergeCell ref="A75:G75"/>
    <mergeCell ref="E11:G11"/>
    <mergeCell ref="H11:J11"/>
    <mergeCell ref="K11:M11"/>
    <mergeCell ref="A66:J66"/>
    <mergeCell ref="A67:J67"/>
    <mergeCell ref="A68:J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E2" sqref="E2"/>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Metro, Inc. - DSIM Rider Update Filed 06/01/2024</v>
      </c>
    </row>
    <row r="2" spans="1:23" x14ac:dyDescent="0.35">
      <c r="A2" s="9" t="str">
        <f>+'PPC Cycle 3'!A2</f>
        <v>Projections for Cycle 3 July 2024 - June 2025 DSIM</v>
      </c>
    </row>
    <row r="3" spans="1:23" s="46" customFormat="1" x14ac:dyDescent="0.35">
      <c r="A3" s="9"/>
    </row>
    <row r="4" spans="1:23" ht="40.5" customHeight="1" x14ac:dyDescent="0.35">
      <c r="B4" s="344" t="s">
        <v>63</v>
      </c>
      <c r="C4" s="344"/>
    </row>
    <row r="5" spans="1:23" ht="29" x14ac:dyDescent="0.35">
      <c r="B5" s="148" t="s">
        <v>64</v>
      </c>
      <c r="C5" s="6" t="s">
        <v>29</v>
      </c>
    </row>
    <row r="6" spans="1:23" x14ac:dyDescent="0.35">
      <c r="A6" s="20" t="s">
        <v>24</v>
      </c>
      <c r="B6" s="23">
        <f>SUM(0)</f>
        <v>0</v>
      </c>
      <c r="C6" s="86">
        <f>ROUND(SUM(0),2)</f>
        <v>0</v>
      </c>
    </row>
    <row r="7" spans="1:23" x14ac:dyDescent="0.35">
      <c r="A7" s="30" t="s">
        <v>25</v>
      </c>
      <c r="B7" s="23">
        <f>+B14</f>
        <v>0</v>
      </c>
      <c r="C7" s="86">
        <f>+C14</f>
        <v>0</v>
      </c>
    </row>
    <row r="8" spans="1:23" x14ac:dyDescent="0.35">
      <c r="A8" s="20" t="s">
        <v>5</v>
      </c>
      <c r="B8" s="24">
        <f>SUM(B6:B7)</f>
        <v>0</v>
      </c>
      <c r="C8" s="22">
        <f>SUM(C6:C7)</f>
        <v>0</v>
      </c>
    </row>
    <row r="9" spans="1:23" s="46" customFormat="1" x14ac:dyDescent="0.35">
      <c r="A9" s="20"/>
    </row>
    <row r="10" spans="1:23" s="46" customFormat="1" x14ac:dyDescent="0.35">
      <c r="A10" s="20" t="s">
        <v>104</v>
      </c>
      <c r="B10" s="23">
        <f>SUM(0)</f>
        <v>0</v>
      </c>
      <c r="C10" s="86">
        <f>ROUND(SUM(0),2)</f>
        <v>0</v>
      </c>
    </row>
    <row r="11" spans="1:23" s="46" customFormat="1" x14ac:dyDescent="0.35">
      <c r="A11" s="20" t="s">
        <v>105</v>
      </c>
      <c r="B11" s="23">
        <f t="shared" ref="B11:B13" si="0">SUM(0)</f>
        <v>0</v>
      </c>
      <c r="C11" s="86">
        <f t="shared" ref="C11:C13" si="1">ROUND(SUM(0),2)</f>
        <v>0</v>
      </c>
    </row>
    <row r="12" spans="1:23" s="46" customFormat="1" x14ac:dyDescent="0.35">
      <c r="A12" s="20" t="s">
        <v>106</v>
      </c>
      <c r="B12" s="23">
        <f t="shared" si="0"/>
        <v>0</v>
      </c>
      <c r="C12" s="86">
        <f t="shared" si="1"/>
        <v>0</v>
      </c>
    </row>
    <row r="13" spans="1:23" s="46" customFormat="1" x14ac:dyDescent="0.35">
      <c r="A13" s="20" t="s">
        <v>107</v>
      </c>
      <c r="B13" s="23">
        <f t="shared" si="0"/>
        <v>0</v>
      </c>
      <c r="C13" s="86">
        <f t="shared" si="1"/>
        <v>0</v>
      </c>
    </row>
    <row r="14" spans="1:23" x14ac:dyDescent="0.35">
      <c r="A14" s="30" t="s">
        <v>109</v>
      </c>
      <c r="B14" s="24">
        <f>SUM(B10:B13)</f>
        <v>0</v>
      </c>
      <c r="C14" s="22">
        <f>SUM(C10:C13)</f>
        <v>0</v>
      </c>
    </row>
    <row r="15" spans="1:23" x14ac:dyDescent="0.35">
      <c r="A15" s="46"/>
      <c r="B15" s="46"/>
      <c r="C15" s="46"/>
    </row>
    <row r="16" spans="1:23" x14ac:dyDescent="0.35">
      <c r="A16" s="69" t="s">
        <v>30</v>
      </c>
      <c r="B16" s="20"/>
      <c r="C16" s="21"/>
      <c r="N16" s="1"/>
      <c r="O16" s="1"/>
      <c r="P16" s="1"/>
      <c r="Q16" s="1"/>
      <c r="R16" s="1"/>
      <c r="S16" s="1"/>
      <c r="T16" s="1"/>
      <c r="U16" s="1"/>
      <c r="V16" s="1"/>
      <c r="W16" s="1"/>
    </row>
    <row r="17" spans="1:13" s="39" customFormat="1" ht="27" customHeight="1" x14ac:dyDescent="0.35">
      <c r="A17" s="343" t="s">
        <v>224</v>
      </c>
      <c r="B17" s="343"/>
      <c r="C17" s="343"/>
      <c r="D17" s="343"/>
      <c r="E17" s="343"/>
      <c r="F17" s="343"/>
      <c r="G17" s="343"/>
      <c r="H17" s="343"/>
      <c r="I17" s="343"/>
      <c r="J17" s="343"/>
      <c r="K17" s="343"/>
      <c r="L17" s="343"/>
      <c r="M17" s="343"/>
    </row>
    <row r="18" spans="1:13" s="39" customFormat="1" x14ac:dyDescent="0.35">
      <c r="A18" s="345" t="s">
        <v>172</v>
      </c>
      <c r="B18" s="345"/>
      <c r="C18" s="345"/>
      <c r="D18" s="345"/>
      <c r="E18" s="345"/>
      <c r="F18" s="345"/>
      <c r="G18" s="345"/>
      <c r="H18" s="345"/>
      <c r="I18" s="345"/>
      <c r="J18" s="345"/>
      <c r="K18" s="345"/>
      <c r="L18" s="345"/>
      <c r="M18" s="345"/>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2"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I10" sqref="I10"/>
    </sheetView>
  </sheetViews>
  <sheetFormatPr defaultColWidth="9.1796875" defaultRowHeight="14.5" x14ac:dyDescent="0.35"/>
  <cols>
    <col min="1" max="1" width="24.7265625" style="46" customWidth="1"/>
    <col min="2" max="2" width="16.1796875" style="46" customWidth="1"/>
    <col min="3" max="3" width="15.1796875" style="46" customWidth="1"/>
    <col min="4" max="4" width="12.54296875" style="46" bestFit="1" customWidth="1"/>
    <col min="5" max="5" width="11.54296875" style="46" bestFit="1" customWidth="1"/>
    <col min="6" max="6" width="11.54296875" style="46" customWidth="1"/>
    <col min="7" max="16384" width="9.1796875" style="46"/>
  </cols>
  <sheetData>
    <row r="1" spans="1:23" x14ac:dyDescent="0.35">
      <c r="A1" s="3" t="str">
        <f>+'PPC Cycle 3'!A1</f>
        <v>Evergy Metro, Inc. - DSIM Rider Update Filed 06/01/2024</v>
      </c>
    </row>
    <row r="2" spans="1:23" x14ac:dyDescent="0.35">
      <c r="A2" s="9" t="str">
        <f>+'PPC Cycle 3'!A2</f>
        <v>Projections for Cycle 3 July 2024 - June 2025 DSIM</v>
      </c>
    </row>
    <row r="3" spans="1:23" x14ac:dyDescent="0.35">
      <c r="A3" s="9"/>
    </row>
    <row r="4" spans="1:23" ht="40.5" customHeight="1" x14ac:dyDescent="0.35">
      <c r="B4" s="344" t="s">
        <v>111</v>
      </c>
      <c r="C4" s="344"/>
    </row>
    <row r="5" spans="1:23" ht="72.5" x14ac:dyDescent="0.35">
      <c r="B5" s="148" t="s">
        <v>64</v>
      </c>
      <c r="C5" s="48" t="s">
        <v>29</v>
      </c>
      <c r="D5" s="278" t="s">
        <v>240</v>
      </c>
      <c r="E5" s="278" t="str">
        <f>+'PPC Cycle 3'!D4</f>
        <v>3. Cycle 3 PY5 Extension- July 2024 - June 2025</v>
      </c>
      <c r="F5" s="278" t="s">
        <v>274</v>
      </c>
    </row>
    <row r="6" spans="1:23" x14ac:dyDescent="0.35">
      <c r="A6" s="20" t="s">
        <v>24</v>
      </c>
      <c r="B6" s="23">
        <f>ROUND(SUM('[13]Monthly TD Calc-PY1-3'!$BG461:$BR461)+SUM('[13]Monthly TD Calc-PY4'!$BG469:$BR469)+SUM('[13]Monthly TD Calc-PY5'!$BG569:$BR569),4)</f>
        <v>38695580.337499999</v>
      </c>
      <c r="C6" s="86">
        <f>SUM(D6:F6)</f>
        <v>2486016.52</v>
      </c>
      <c r="D6" s="228">
        <f>ROUND(+SUM('[13]Monthly TD Calc-PY4'!$BG575:$BR575),2)</f>
        <v>667218.76</v>
      </c>
      <c r="E6" s="228">
        <f>ROUND(+SUM('[13]Monthly TD Calc-PY5'!$BG701:$BR701),2)</f>
        <v>375606.56</v>
      </c>
      <c r="F6" s="228">
        <f>ROUND(SUM('[13]Monthly TD Calc-PY1-3'!$BG563:$BR563),2)</f>
        <v>1443191.2</v>
      </c>
    </row>
    <row r="7" spans="1:23" x14ac:dyDescent="0.35">
      <c r="A7" s="20" t="s">
        <v>104</v>
      </c>
      <c r="B7" s="23">
        <f>ROUND(SUM('[13]Monthly TD Calc-PY1-3'!$BG462:$BR462)+SUM('[13]Monthly TD Calc-PY4'!$BG470:$BR470)+SUM('[13]Monthly TD Calc-PY5'!$BG570:$BR570),4)</f>
        <v>7668944.1610000003</v>
      </c>
      <c r="C7" s="86">
        <f t="shared" ref="C7:C10" si="0">SUM(D7:F7)</f>
        <v>507712.69999999995</v>
      </c>
      <c r="D7" s="228">
        <f>ROUND(+SUM('[13]Monthly TD Calc-PY4'!$BG576:$BR576),2)</f>
        <v>84656.08</v>
      </c>
      <c r="E7" s="228">
        <f>ROUND(+SUM('[13]Monthly TD Calc-PY5'!$BG702:$BR702),2)</f>
        <v>189375.33</v>
      </c>
      <c r="F7" s="228">
        <f>ROUND(SUM('[13]Monthly TD Calc-PY1-3'!$BG564:$BR564),2)</f>
        <v>233681.29</v>
      </c>
    </row>
    <row r="8" spans="1:23" x14ac:dyDescent="0.35">
      <c r="A8" s="20" t="s">
        <v>105</v>
      </c>
      <c r="B8" s="23">
        <f>ROUND(SUM('[13]Monthly TD Calc-PY1-3'!$BG463:$BR463)+SUM('[13]Monthly TD Calc-PY4'!$BG471:$BR471)+SUM('[13]Monthly TD Calc-PY5'!$BG571:$BR571),4)</f>
        <v>27642888.746199999</v>
      </c>
      <c r="C8" s="86">
        <f t="shared" si="0"/>
        <v>1294609.7999999998</v>
      </c>
      <c r="D8" s="228">
        <f>ROUND(+SUM('[13]Monthly TD Calc-PY4'!$BG577:$BR577),2)</f>
        <v>473253.02</v>
      </c>
      <c r="E8" s="228">
        <f>ROUND(+SUM('[13]Monthly TD Calc-PY5'!$BG703:$BR703),2)</f>
        <v>366037.67</v>
      </c>
      <c r="F8" s="228">
        <f>ROUND(SUM('[13]Monthly TD Calc-PY1-3'!$BG565:$BR565),2)</f>
        <v>455319.11</v>
      </c>
    </row>
    <row r="9" spans="1:23" x14ac:dyDescent="0.35">
      <c r="A9" s="20" t="s">
        <v>106</v>
      </c>
      <c r="B9" s="23">
        <f>ROUND(SUM('[13]Monthly TD Calc-PY1-3'!$BG464:$BR464)+SUM('[13]Monthly TD Calc-PY4'!$BG472:$BR472)+SUM('[13]Monthly TD Calc-PY5'!$BG572:$BR572),4)</f>
        <v>33191872.524300002</v>
      </c>
      <c r="C9" s="86">
        <f t="shared" si="0"/>
        <v>978836.84000000008</v>
      </c>
      <c r="D9" s="228">
        <f>ROUND(+SUM('[13]Monthly TD Calc-PY4'!$BG578:$BR578),2)</f>
        <v>357543.78</v>
      </c>
      <c r="E9" s="228">
        <f>ROUND(+SUM('[13]Monthly TD Calc-PY5'!$BG704:$BR704),2)</f>
        <v>206061.97</v>
      </c>
      <c r="F9" s="228">
        <f>ROUND(SUM('[13]Monthly TD Calc-PY1-3'!$BG566:$BR566),2)</f>
        <v>415231.09</v>
      </c>
    </row>
    <row r="10" spans="1:23" x14ac:dyDescent="0.35">
      <c r="A10" s="20" t="s">
        <v>107</v>
      </c>
      <c r="B10" s="23">
        <f>ROUND(SUM('[13]Monthly TD Calc-PY1-3'!$BG465:$BR465)+SUM('[13]Monthly TD Calc-PY4'!$BG473:$BR473)+SUM('[13]Monthly TD Calc-PY5'!$BG573:$BR573),4)</f>
        <v>5824008.7976000002</v>
      </c>
      <c r="C10" s="86">
        <f t="shared" si="0"/>
        <v>71065.420000000013</v>
      </c>
      <c r="D10" s="228">
        <f>ROUND(+SUM('[13]Monthly TD Calc-PY4'!$BG579:$BR579),2)</f>
        <v>24374.49</v>
      </c>
      <c r="E10" s="228">
        <f>ROUND(+SUM('[13]Monthly TD Calc-PY5'!$BG705:$BR705),2)</f>
        <v>24449.39</v>
      </c>
      <c r="F10" s="228">
        <f>ROUND(SUM('[13]Monthly TD Calc-PY1-3'!$BG567:$BR567),2)</f>
        <v>22241.54</v>
      </c>
    </row>
    <row r="11" spans="1:23" x14ac:dyDescent="0.35">
      <c r="A11" s="30" t="s">
        <v>5</v>
      </c>
      <c r="B11" s="24">
        <f>SUM(B6:B10)</f>
        <v>113023294.56659999</v>
      </c>
      <c r="C11" s="282">
        <f>SUM(C6:C10)</f>
        <v>5338241.2799999993</v>
      </c>
      <c r="D11" s="282">
        <f t="shared" ref="D11:E11" si="1">SUM(D6:D10)</f>
        <v>1607046.13</v>
      </c>
      <c r="E11" s="282">
        <f t="shared" si="1"/>
        <v>1161530.92</v>
      </c>
      <c r="F11" s="282">
        <f t="shared" ref="F11" si="2">SUM(F6:F10)</f>
        <v>2569664.23</v>
      </c>
    </row>
    <row r="13" spans="1:23" x14ac:dyDescent="0.35">
      <c r="A13" s="69" t="s">
        <v>30</v>
      </c>
      <c r="B13" s="20"/>
      <c r="C13" s="21"/>
      <c r="N13" s="1"/>
      <c r="O13" s="1"/>
      <c r="P13" s="1"/>
      <c r="Q13" s="1"/>
      <c r="R13" s="1"/>
      <c r="S13" s="1"/>
      <c r="T13" s="1"/>
      <c r="U13" s="1"/>
      <c r="V13" s="1"/>
      <c r="W13" s="1"/>
    </row>
    <row r="14" spans="1:23" s="39" customFormat="1" ht="45" customHeight="1" x14ac:dyDescent="0.35">
      <c r="A14" s="343" t="s">
        <v>292</v>
      </c>
      <c r="B14" s="343"/>
      <c r="C14" s="343"/>
      <c r="D14" s="343"/>
      <c r="E14" s="343"/>
      <c r="F14" s="281"/>
      <c r="G14" s="281"/>
      <c r="H14" s="281"/>
      <c r="I14" s="281"/>
      <c r="J14" s="281"/>
      <c r="K14" s="281"/>
      <c r="L14" s="281"/>
      <c r="M14" s="281"/>
    </row>
    <row r="15" spans="1:23" s="39" customFormat="1" x14ac:dyDescent="0.35">
      <c r="A15" s="345" t="s">
        <v>305</v>
      </c>
      <c r="B15" s="345"/>
      <c r="C15" s="345"/>
      <c r="D15" s="345"/>
      <c r="E15" s="345"/>
      <c r="F15" s="345"/>
      <c r="G15" s="345"/>
      <c r="H15" s="345"/>
      <c r="I15" s="345"/>
      <c r="J15" s="345"/>
      <c r="K15" s="345"/>
      <c r="L15" s="345"/>
      <c r="M15" s="345"/>
    </row>
    <row r="16" spans="1:23" ht="29.25" customHeight="1" x14ac:dyDescent="0.35">
      <c r="A16" s="357" t="s">
        <v>293</v>
      </c>
      <c r="B16" s="357"/>
      <c r="C16" s="357"/>
      <c r="D16" s="357"/>
      <c r="E16" s="357"/>
      <c r="F16" s="281"/>
      <c r="G16" s="281"/>
      <c r="H16" s="281"/>
      <c r="I16" s="281"/>
      <c r="J16" s="281"/>
      <c r="K16" s="281"/>
      <c r="L16" s="281"/>
      <c r="M16" s="281"/>
    </row>
    <row r="17" spans="1:13" ht="27.75" customHeight="1" x14ac:dyDescent="0.35">
      <c r="A17" s="343" t="s">
        <v>294</v>
      </c>
      <c r="B17" s="343"/>
      <c r="C17" s="343"/>
      <c r="D17" s="343"/>
      <c r="E17" s="343"/>
      <c r="F17" s="281"/>
      <c r="G17" s="281"/>
      <c r="H17" s="281"/>
      <c r="I17" s="281"/>
      <c r="J17" s="281"/>
      <c r="K17" s="281"/>
      <c r="L17" s="281"/>
      <c r="M17" s="281"/>
    </row>
    <row r="18" spans="1:13" ht="31.5" customHeight="1" x14ac:dyDescent="0.35">
      <c r="A18" s="343" t="s">
        <v>295</v>
      </c>
      <c r="B18" s="343"/>
      <c r="C18" s="343"/>
      <c r="D18" s="343"/>
      <c r="E18" s="343"/>
      <c r="G18" s="281"/>
    </row>
    <row r="35" spans="2:3" x14ac:dyDescent="0.35">
      <c r="B35" s="8"/>
      <c r="C35" s="8"/>
    </row>
    <row r="39" spans="2:3" x14ac:dyDescent="0.35">
      <c r="B39" s="8"/>
      <c r="C39" s="8"/>
    </row>
  </sheetData>
  <mergeCells count="6">
    <mergeCell ref="A18:E18"/>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Sequence_x0020_Number xmlns="f450f658-75db-4c0c-ab7c-769d36713c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75d4f0a820f4001080bf88af81ac7904">
  <xsd:schema xmlns:xsd="http://www.w3.org/2001/XMLSchema" xmlns:xs="http://www.w3.org/2001/XMLSchema" xmlns:p="http://schemas.microsoft.com/office/2006/metadata/properties" xmlns:ns2="c85253b9-0a55-49a1-98ad-b5b6252d7079" xmlns:ns3="f450f658-75db-4c0c-ab7c-769d36713cbc" xmlns:ns4="b95115da-3ec3-4f45-8f03-fcf4d770a292" targetNamespace="http://schemas.microsoft.com/office/2006/metadata/properties" ma:root="true" ma:fieldsID="eeb9bdca1b7f9fa9ccfc1b8fbb2936e7" ns2:_="" ns3:_="" ns4:_="">
    <xsd:import namespace="c85253b9-0a55-49a1-98ad-b5b6252d7079"/>
    <xsd:import namespace="f450f658-75db-4c0c-ab7c-769d36713cbc"/>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f450f658-75db-4c0c-ab7c-769d36713cbc"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BBE680F6-EEBC-41A4-AEB5-0B773B5EACA2}">
  <ds:schemaRefs>
    <ds:schemaRef ds:uri="http://schemas.microsoft.com/office/2006/documentManagement/types"/>
    <ds:schemaRef ds:uri="http://schemas.microsoft.com/office/infopath/2007/PartnerControls"/>
    <ds:schemaRef ds:uri="http://purl.org/dc/dcmitype/"/>
    <ds:schemaRef ds:uri="f450f658-75db-4c0c-ab7c-769d36713cbc"/>
    <ds:schemaRef ds:uri="http://schemas.microsoft.com/office/2006/metadata/properties"/>
    <ds:schemaRef ds:uri="b95115da-3ec3-4f45-8f03-fcf4d770a292"/>
    <ds:schemaRef ds:uri="http://purl.org/dc/elements/1.1/"/>
    <ds:schemaRef ds:uri="http://www.w3.org/XML/1998/namespace"/>
    <ds:schemaRef ds:uri="c85253b9-0a55-49a1-98ad-b5b6252d7079"/>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EE61FD-E259-43CE-909C-AC5B6FB9A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f450f658-75db-4c0c-ab7c-769d36713cbc"/>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275ac46-98b9-4d64-949f-e82ee8dc823c}" enabled="1" method="Standard" siteId="{9ef58ab0-3510-4d99-8d3e-3c9e02ebab7f}"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Index Table of Contents</vt:lpstr>
      <vt:lpstr>Tariff Tables</vt:lpstr>
      <vt:lpstr>DSIM Cycle Tables</vt:lpstr>
      <vt:lpstr>PPC Cycle 3</vt:lpstr>
      <vt:lpstr>PCR Cycle 2</vt:lpstr>
      <vt:lpstr>PCR Cycle 3</vt:lpstr>
      <vt:lpstr>PCR Cycle 4</vt:lpstr>
      <vt:lpstr>PTD Cycle 2</vt:lpstr>
      <vt:lpstr>PTD Cycle 3</vt:lpstr>
      <vt:lpstr>TDR Cycle 2</vt:lpstr>
      <vt:lpstr>TDR Cycle 3</vt:lpstr>
      <vt:lpstr>EO Cycle 2</vt:lpstr>
      <vt:lpstr>EO Cycle 3</vt:lpstr>
      <vt:lpstr>EOR Cycle 2</vt:lpstr>
      <vt:lpstr>EOR Cycle 3</vt:lpstr>
      <vt:lpstr>OA Cycle 2</vt:lpstr>
      <vt:lpstr>OA Cycle 3</vt:lpstr>
      <vt:lpstr>OAR Cycle 2</vt:lpstr>
      <vt:lpstr>OAR Cycle 3</vt:lpstr>
      <vt:lpstr>'PCR Cycle 2'!Print_Area</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2024-05-31T13:26:00Z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ies>
</file>