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W:\Work\MANTLE\Testimony\EO-2023-0277 Evergy West\Rebuttal\"/>
    </mc:Choice>
  </mc:AlternateContent>
  <xr:revisionPtr revIDLastSave="0" documentId="13_ncr:1_{B5768678-3E6D-4EA7-9E90-938F9A00F4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mprudence Amt" sheetId="4" r:id="rId1"/>
    <sheet name="Variable costs" sheetId="1" r:id="rId2"/>
    <sheet name="West PPAs" sheetId="6" r:id="rId3"/>
    <sheet name="Metro PPAs" sheetId="5" r:id="rId4"/>
    <sheet name="Fixed Costs" sheetId="3" r:id="rId5"/>
    <sheet name="Gen_Load" sheetId="2" r:id="rId6"/>
  </sheets>
  <definedNames>
    <definedName name="_xlnm.Print_Area" localSheetId="1">'Variable costs'!$U$3:$AC$23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J193" i="5" l="1"/>
  <c r="K151" i="6"/>
  <c r="E134" i="6"/>
  <c r="K134" i="6" s="1"/>
  <c r="F134" i="6"/>
  <c r="G134" i="6"/>
  <c r="H134" i="6"/>
  <c r="E135" i="6"/>
  <c r="K135" i="6" s="1"/>
  <c r="F135" i="6"/>
  <c r="G135" i="6"/>
  <c r="H135" i="6"/>
  <c r="E136" i="6"/>
  <c r="F136" i="6"/>
  <c r="G136" i="6"/>
  <c r="H136" i="6"/>
  <c r="K136" i="6" s="1"/>
  <c r="E137" i="6"/>
  <c r="K137" i="6" s="1"/>
  <c r="F137" i="6"/>
  <c r="G137" i="6"/>
  <c r="H137" i="6"/>
  <c r="E138" i="6"/>
  <c r="K138" i="6" s="1"/>
  <c r="F138" i="6"/>
  <c r="G138" i="6"/>
  <c r="H138" i="6"/>
  <c r="E139" i="6"/>
  <c r="F139" i="6"/>
  <c r="G139" i="6"/>
  <c r="H139" i="6"/>
  <c r="K139" i="6" s="1"/>
  <c r="E140" i="6"/>
  <c r="K140" i="6" s="1"/>
  <c r="F140" i="6"/>
  <c r="G140" i="6"/>
  <c r="H140" i="6"/>
  <c r="E141" i="6"/>
  <c r="F141" i="6"/>
  <c r="G141" i="6"/>
  <c r="H141" i="6"/>
  <c r="K141" i="6"/>
  <c r="E142" i="6"/>
  <c r="F142" i="6"/>
  <c r="G142" i="6"/>
  <c r="H142" i="6"/>
  <c r="K142" i="6"/>
  <c r="E143" i="6"/>
  <c r="K143" i="6" s="1"/>
  <c r="F143" i="6"/>
  <c r="G143" i="6"/>
  <c r="H143" i="6"/>
  <c r="E144" i="6"/>
  <c r="F144" i="6"/>
  <c r="G144" i="6"/>
  <c r="H144" i="6"/>
  <c r="K144" i="6" s="1"/>
  <c r="E145" i="6"/>
  <c r="K145" i="6" s="1"/>
  <c r="F145" i="6"/>
  <c r="G145" i="6"/>
  <c r="H145" i="6"/>
  <c r="E146" i="6"/>
  <c r="K146" i="6" s="1"/>
  <c r="F146" i="6"/>
  <c r="G146" i="6"/>
  <c r="H146" i="6"/>
  <c r="E147" i="6"/>
  <c r="F147" i="6"/>
  <c r="G147" i="6"/>
  <c r="H147" i="6"/>
  <c r="K147" i="6" s="1"/>
  <c r="E148" i="6"/>
  <c r="K148" i="6" s="1"/>
  <c r="F148" i="6"/>
  <c r="G148" i="6"/>
  <c r="H148" i="6"/>
  <c r="E149" i="6"/>
  <c r="F149" i="6"/>
  <c r="G149" i="6"/>
  <c r="H149" i="6"/>
  <c r="K149" i="6"/>
  <c r="E150" i="6"/>
  <c r="F150" i="6"/>
  <c r="G150" i="6"/>
  <c r="H150" i="6"/>
  <c r="K150" i="6" s="1"/>
  <c r="K133" i="6"/>
  <c r="H133" i="6"/>
  <c r="G133" i="6"/>
  <c r="F133" i="6"/>
  <c r="E133" i="6"/>
  <c r="D133" i="6"/>
  <c r="J183" i="5"/>
  <c r="F175" i="5"/>
  <c r="G175" i="5"/>
  <c r="H175" i="5"/>
  <c r="F176" i="5"/>
  <c r="G176" i="5"/>
  <c r="H176" i="5"/>
  <c r="F177" i="5"/>
  <c r="G177" i="5"/>
  <c r="H177" i="5"/>
  <c r="F178" i="5"/>
  <c r="H178" i="5"/>
  <c r="F179" i="5"/>
  <c r="G179" i="5"/>
  <c r="H179" i="5"/>
  <c r="F180" i="5"/>
  <c r="G180" i="5"/>
  <c r="H180" i="5"/>
  <c r="E181" i="5"/>
  <c r="F181" i="5"/>
  <c r="G181" i="5"/>
  <c r="H181" i="5"/>
  <c r="E182" i="5"/>
  <c r="J182" i="5" s="1"/>
  <c r="F182" i="5"/>
  <c r="G182" i="5"/>
  <c r="H182" i="5"/>
  <c r="E183" i="5"/>
  <c r="F183" i="5"/>
  <c r="G183" i="5"/>
  <c r="H183" i="5"/>
  <c r="E184" i="5"/>
  <c r="J184" i="5" s="1"/>
  <c r="F184" i="5"/>
  <c r="G184" i="5"/>
  <c r="H184" i="5"/>
  <c r="E185" i="5"/>
  <c r="J185" i="5" s="1"/>
  <c r="F185" i="5"/>
  <c r="G185" i="5"/>
  <c r="H185" i="5"/>
  <c r="E186" i="5"/>
  <c r="J186" i="5" s="1"/>
  <c r="F186" i="5"/>
  <c r="G186" i="5"/>
  <c r="H186" i="5"/>
  <c r="E187" i="5"/>
  <c r="J187" i="5" s="1"/>
  <c r="F187" i="5"/>
  <c r="G187" i="5"/>
  <c r="H187" i="5"/>
  <c r="E188" i="5"/>
  <c r="J188" i="5" s="1"/>
  <c r="F188" i="5"/>
  <c r="G188" i="5"/>
  <c r="H188" i="5"/>
  <c r="E189" i="5"/>
  <c r="J189" i="5" s="1"/>
  <c r="F189" i="5"/>
  <c r="G189" i="5"/>
  <c r="H189" i="5"/>
  <c r="E190" i="5"/>
  <c r="J190" i="5" s="1"/>
  <c r="F190" i="5"/>
  <c r="G190" i="5"/>
  <c r="H190" i="5"/>
  <c r="E191" i="5"/>
  <c r="J191" i="5" s="1"/>
  <c r="F191" i="5"/>
  <c r="G191" i="5"/>
  <c r="H191" i="5"/>
  <c r="E192" i="5"/>
  <c r="J192" i="5" s="1"/>
  <c r="F192" i="5"/>
  <c r="G192" i="5"/>
  <c r="H19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3" i="5"/>
  <c r="G153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2" i="5"/>
  <c r="G132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1" i="5"/>
  <c r="G111" i="5"/>
  <c r="J90" i="5"/>
  <c r="G90" i="5"/>
  <c r="J76" i="5"/>
  <c r="J77" i="5"/>
  <c r="J78" i="5"/>
  <c r="J79" i="5"/>
  <c r="J80" i="5"/>
  <c r="J81" i="5"/>
  <c r="J82" i="5"/>
  <c r="J83" i="5"/>
  <c r="J84" i="5"/>
  <c r="J85" i="5"/>
  <c r="J86" i="5"/>
  <c r="J87" i="5"/>
  <c r="J69" i="5"/>
  <c r="G69" i="5"/>
  <c r="J55" i="5"/>
  <c r="J56" i="5"/>
  <c r="J57" i="5"/>
  <c r="J58" i="5"/>
  <c r="J59" i="5"/>
  <c r="J60" i="5"/>
  <c r="J61" i="5"/>
  <c r="J62" i="5"/>
  <c r="J63" i="5"/>
  <c r="J64" i="5"/>
  <c r="J65" i="5"/>
  <c r="J66" i="5"/>
  <c r="J48" i="5"/>
  <c r="G48" i="5"/>
  <c r="J34" i="5"/>
  <c r="J35" i="5"/>
  <c r="J36" i="5"/>
  <c r="J37" i="5"/>
  <c r="J38" i="5"/>
  <c r="J39" i="5"/>
  <c r="J40" i="5"/>
  <c r="J41" i="5"/>
  <c r="J42" i="5"/>
  <c r="J43" i="5"/>
  <c r="J44" i="5"/>
  <c r="J45" i="5"/>
  <c r="J27" i="5"/>
  <c r="G27" i="5"/>
  <c r="J6" i="5"/>
  <c r="G6" i="5"/>
  <c r="F174" i="5"/>
  <c r="H174" i="5"/>
  <c r="E174" i="5"/>
  <c r="J174" i="5" s="1"/>
  <c r="J181" i="5" l="1"/>
  <c r="G174" i="5"/>
  <c r="H151" i="6" l="1"/>
  <c r="G151" i="6"/>
  <c r="F151" i="6"/>
  <c r="H130" i="6"/>
  <c r="F130" i="6"/>
  <c r="D130" i="6"/>
  <c r="K129" i="6"/>
  <c r="K128" i="6"/>
  <c r="K127" i="6"/>
  <c r="K126" i="6"/>
  <c r="K125" i="6"/>
  <c r="K124" i="6"/>
  <c r="K123" i="6"/>
  <c r="K122" i="6"/>
  <c r="K121" i="6"/>
  <c r="K120" i="6"/>
  <c r="K119" i="6"/>
  <c r="E118" i="6"/>
  <c r="K118" i="6" s="1"/>
  <c r="E117" i="6"/>
  <c r="K117" i="6" s="1"/>
  <c r="G116" i="6"/>
  <c r="G130" i="6" s="1"/>
  <c r="E115" i="6"/>
  <c r="K115" i="6" s="1"/>
  <c r="E114" i="6"/>
  <c r="K114" i="6" s="1"/>
  <c r="E113" i="6"/>
  <c r="K113" i="6" s="1"/>
  <c r="E112" i="6"/>
  <c r="H110" i="6"/>
  <c r="F110" i="6"/>
  <c r="D110" i="6"/>
  <c r="K109" i="6"/>
  <c r="K108" i="6"/>
  <c r="K107" i="6"/>
  <c r="K106" i="6"/>
  <c r="K105" i="6"/>
  <c r="K104" i="6"/>
  <c r="K103" i="6"/>
  <c r="K102" i="6"/>
  <c r="K101" i="6"/>
  <c r="K100" i="6"/>
  <c r="K99" i="6"/>
  <c r="E98" i="6"/>
  <c r="K98" i="6" s="1"/>
  <c r="E97" i="6"/>
  <c r="K97" i="6" s="1"/>
  <c r="G96" i="6"/>
  <c r="G110" i="6" s="1"/>
  <c r="E95" i="6"/>
  <c r="K95" i="6" s="1"/>
  <c r="K94" i="6"/>
  <c r="E94" i="6"/>
  <c r="E93" i="6"/>
  <c r="K93" i="6" s="1"/>
  <c r="E92" i="6"/>
  <c r="K92" i="6" s="1"/>
  <c r="H89" i="6"/>
  <c r="F89" i="6"/>
  <c r="D89" i="6"/>
  <c r="K88" i="6"/>
  <c r="K87" i="6"/>
  <c r="K86" i="6"/>
  <c r="K85" i="6"/>
  <c r="K84" i="6"/>
  <c r="K83" i="6"/>
  <c r="K82" i="6"/>
  <c r="K81" i="6"/>
  <c r="K80" i="6"/>
  <c r="K79" i="6"/>
  <c r="K78" i="6"/>
  <c r="E77" i="6"/>
  <c r="K77" i="6" s="1"/>
  <c r="K76" i="6"/>
  <c r="E76" i="6"/>
  <c r="G75" i="6"/>
  <c r="G89" i="6" s="1"/>
  <c r="E74" i="6"/>
  <c r="K74" i="6" s="1"/>
  <c r="E73" i="6"/>
  <c r="K73" i="6" s="1"/>
  <c r="E72" i="6"/>
  <c r="K72" i="6" s="1"/>
  <c r="E71" i="6"/>
  <c r="H68" i="6"/>
  <c r="F68" i="6"/>
  <c r="D68" i="6"/>
  <c r="K67" i="6"/>
  <c r="K66" i="6"/>
  <c r="K65" i="6"/>
  <c r="K64" i="6"/>
  <c r="K63" i="6"/>
  <c r="K62" i="6"/>
  <c r="K61" i="6"/>
  <c r="K60" i="6"/>
  <c r="K59" i="6"/>
  <c r="K58" i="6"/>
  <c r="K57" i="6"/>
  <c r="E56" i="6"/>
  <c r="K56" i="6" s="1"/>
  <c r="E55" i="6"/>
  <c r="K55" i="6" s="1"/>
  <c r="G54" i="6"/>
  <c r="E54" i="6" s="1"/>
  <c r="K54" i="6" s="1"/>
  <c r="E53" i="6"/>
  <c r="K53" i="6" s="1"/>
  <c r="K52" i="6"/>
  <c r="E52" i="6"/>
  <c r="E51" i="6"/>
  <c r="K51" i="6" s="1"/>
  <c r="E50" i="6"/>
  <c r="K50" i="6" s="1"/>
  <c r="H47" i="6"/>
  <c r="F47" i="6"/>
  <c r="D47" i="6"/>
  <c r="K46" i="6"/>
  <c r="K45" i="6"/>
  <c r="K44" i="6"/>
  <c r="K43" i="6"/>
  <c r="K42" i="6"/>
  <c r="K41" i="6"/>
  <c r="K40" i="6"/>
  <c r="K39" i="6"/>
  <c r="K38" i="6"/>
  <c r="K37" i="6"/>
  <c r="K36" i="6"/>
  <c r="E35" i="6"/>
  <c r="K35" i="6" s="1"/>
  <c r="K34" i="6"/>
  <c r="E34" i="6"/>
  <c r="G33" i="6"/>
  <c r="G47" i="6" s="1"/>
  <c r="E32" i="6"/>
  <c r="K32" i="6" s="1"/>
  <c r="E31" i="6"/>
  <c r="K31" i="6" s="1"/>
  <c r="E30" i="6"/>
  <c r="K30" i="6" s="1"/>
  <c r="E29" i="6"/>
  <c r="K29" i="6" s="1"/>
  <c r="H26" i="6"/>
  <c r="F26" i="6"/>
  <c r="D26" i="6"/>
  <c r="K25" i="6"/>
  <c r="F22" i="1" s="1"/>
  <c r="I22" i="1" s="1"/>
  <c r="K24" i="6"/>
  <c r="F21" i="1" s="1"/>
  <c r="K23" i="6"/>
  <c r="F20" i="1" s="1"/>
  <c r="K22" i="6"/>
  <c r="F19" i="1" s="1"/>
  <c r="K21" i="6"/>
  <c r="F18" i="1" s="1"/>
  <c r="K20" i="6"/>
  <c r="F17" i="1" s="1"/>
  <c r="K19" i="6"/>
  <c r="F16" i="1" s="1"/>
  <c r="K18" i="6"/>
  <c r="F15" i="1" s="1"/>
  <c r="K17" i="6"/>
  <c r="F14" i="1" s="1"/>
  <c r="I14" i="1" s="1"/>
  <c r="K16" i="6"/>
  <c r="F13" i="1" s="1"/>
  <c r="K15" i="6"/>
  <c r="F12" i="1" s="1"/>
  <c r="E14" i="6"/>
  <c r="K14" i="6" s="1"/>
  <c r="E13" i="6"/>
  <c r="G12" i="6"/>
  <c r="G26" i="6" s="1"/>
  <c r="E12" i="6"/>
  <c r="K12" i="6" s="1"/>
  <c r="K11" i="6"/>
  <c r="F8" i="1" s="1"/>
  <c r="E11" i="6"/>
  <c r="E10" i="6"/>
  <c r="K10" i="6" s="1"/>
  <c r="F7" i="1" s="1"/>
  <c r="E9" i="6"/>
  <c r="K9" i="6" s="1"/>
  <c r="F6" i="1" s="1"/>
  <c r="I6" i="1" s="1"/>
  <c r="E8" i="6"/>
  <c r="K8" i="6" s="1"/>
  <c r="F5" i="1" s="1"/>
  <c r="I5" i="1" s="1"/>
  <c r="I18" i="1" l="1"/>
  <c r="I19" i="1"/>
  <c r="I16" i="1"/>
  <c r="F11" i="1"/>
  <c r="I20" i="1"/>
  <c r="I21" i="1"/>
  <c r="I12" i="1"/>
  <c r="I13" i="1"/>
  <c r="I17" i="1"/>
  <c r="I7" i="1"/>
  <c r="I8" i="1"/>
  <c r="I15" i="1"/>
  <c r="E33" i="6"/>
  <c r="K33" i="6" s="1"/>
  <c r="F9" i="1" s="1"/>
  <c r="E26" i="6"/>
  <c r="E75" i="6"/>
  <c r="K75" i="6" s="1"/>
  <c r="E116" i="6"/>
  <c r="K116" i="6" s="1"/>
  <c r="E151" i="6"/>
  <c r="E68" i="6"/>
  <c r="K68" i="6"/>
  <c r="K13" i="6"/>
  <c r="K71" i="6"/>
  <c r="E96" i="6"/>
  <c r="K96" i="6" s="1"/>
  <c r="K110" i="6" s="1"/>
  <c r="K112" i="6"/>
  <c r="K130" i="6" s="1"/>
  <c r="G68" i="6"/>
  <c r="I9" i="1" l="1"/>
  <c r="K26" i="6"/>
  <c r="F10" i="1"/>
  <c r="I11" i="1"/>
  <c r="K47" i="6"/>
  <c r="K89" i="6"/>
  <c r="E130" i="6"/>
  <c r="E47" i="6"/>
  <c r="E89" i="6"/>
  <c r="E110" i="6"/>
  <c r="E153" i="6" s="1"/>
  <c r="I10" i="1" l="1"/>
  <c r="I24" i="1"/>
  <c r="J108" i="5"/>
  <c r="J107" i="5"/>
  <c r="J106" i="5"/>
  <c r="J105" i="5"/>
  <c r="J104" i="5"/>
  <c r="J103" i="5"/>
  <c r="J102" i="5"/>
  <c r="J101" i="5"/>
  <c r="J100" i="5"/>
  <c r="J99" i="5"/>
  <c r="J98" i="5"/>
  <c r="J97" i="5"/>
  <c r="J13" i="5"/>
  <c r="E12" i="1" s="1"/>
  <c r="J14" i="5"/>
  <c r="E13" i="1" s="1"/>
  <c r="J15" i="5"/>
  <c r="J16" i="5"/>
  <c r="J17" i="5"/>
  <c r="J18" i="5"/>
  <c r="E17" i="1" s="1"/>
  <c r="J19" i="5"/>
  <c r="J20" i="5"/>
  <c r="E19" i="1" s="1"/>
  <c r="J21" i="5"/>
  <c r="E20" i="1" s="1"/>
  <c r="J22" i="5"/>
  <c r="E21" i="1" s="1"/>
  <c r="J23" i="5"/>
  <c r="J24" i="5"/>
  <c r="H193" i="5"/>
  <c r="F193" i="5"/>
  <c r="H172" i="5"/>
  <c r="F172" i="5"/>
  <c r="D172" i="5"/>
  <c r="E159" i="5"/>
  <c r="J159" i="5" s="1"/>
  <c r="E158" i="5"/>
  <c r="J158" i="5" s="1"/>
  <c r="G157" i="5"/>
  <c r="E157" i="5" s="1"/>
  <c r="J157" i="5" s="1"/>
  <c r="E156" i="5"/>
  <c r="J156" i="5" s="1"/>
  <c r="E155" i="5"/>
  <c r="J155" i="5" s="1"/>
  <c r="E154" i="5"/>
  <c r="H151" i="5"/>
  <c r="F151" i="5"/>
  <c r="D151" i="5"/>
  <c r="E138" i="5"/>
  <c r="J138" i="5" s="1"/>
  <c r="E137" i="5"/>
  <c r="J137" i="5" s="1"/>
  <c r="G136" i="5"/>
  <c r="E136" i="5" s="1"/>
  <c r="J136" i="5" s="1"/>
  <c r="E135" i="5"/>
  <c r="J135" i="5" s="1"/>
  <c r="E134" i="5"/>
  <c r="J134" i="5" s="1"/>
  <c r="E133" i="5"/>
  <c r="H130" i="5"/>
  <c r="G130" i="5"/>
  <c r="F130" i="5"/>
  <c r="D130" i="5"/>
  <c r="E117" i="5"/>
  <c r="J117" i="5" s="1"/>
  <c r="E116" i="5"/>
  <c r="J116" i="5" s="1"/>
  <c r="G115" i="5"/>
  <c r="E115" i="5" s="1"/>
  <c r="J115" i="5" s="1"/>
  <c r="E114" i="5"/>
  <c r="J114" i="5" s="1"/>
  <c r="E113" i="5"/>
  <c r="J113" i="5" s="1"/>
  <c r="E112" i="5"/>
  <c r="H109" i="5"/>
  <c r="G109" i="5"/>
  <c r="F109" i="5"/>
  <c r="D109" i="5"/>
  <c r="E96" i="5"/>
  <c r="J96" i="5" s="1"/>
  <c r="E95" i="5"/>
  <c r="J95" i="5" s="1"/>
  <c r="E94" i="5"/>
  <c r="J94" i="5" s="1"/>
  <c r="E93" i="5"/>
  <c r="J93" i="5" s="1"/>
  <c r="E92" i="5"/>
  <c r="J92" i="5" s="1"/>
  <c r="E91" i="5"/>
  <c r="H88" i="5"/>
  <c r="F88" i="5"/>
  <c r="D88" i="5"/>
  <c r="E75" i="5"/>
  <c r="J75" i="5" s="1"/>
  <c r="E74" i="5"/>
  <c r="J74" i="5" s="1"/>
  <c r="G73" i="5"/>
  <c r="G88" i="5" s="1"/>
  <c r="E72" i="5"/>
  <c r="J72" i="5" s="1"/>
  <c r="E71" i="5"/>
  <c r="J71" i="5" s="1"/>
  <c r="E70" i="5"/>
  <c r="H67" i="5"/>
  <c r="G67" i="5"/>
  <c r="F67" i="5"/>
  <c r="D67" i="5"/>
  <c r="E54" i="5"/>
  <c r="J54" i="5" s="1"/>
  <c r="E53" i="5"/>
  <c r="E52" i="5"/>
  <c r="J52" i="5" s="1"/>
  <c r="E51" i="5"/>
  <c r="J51" i="5" s="1"/>
  <c r="E50" i="5"/>
  <c r="J50" i="5" s="1"/>
  <c r="E49" i="5"/>
  <c r="J49" i="5" s="1"/>
  <c r="H46" i="5"/>
  <c r="G46" i="5"/>
  <c r="F46" i="5"/>
  <c r="D46" i="5"/>
  <c r="E33" i="5"/>
  <c r="J33" i="5" s="1"/>
  <c r="E32" i="5"/>
  <c r="J32" i="5" s="1"/>
  <c r="G31" i="5"/>
  <c r="E31" i="5"/>
  <c r="J31" i="5" s="1"/>
  <c r="E30" i="5"/>
  <c r="J30" i="5" s="1"/>
  <c r="E29" i="5"/>
  <c r="J29" i="5" s="1"/>
  <c r="E28" i="5"/>
  <c r="H25" i="5"/>
  <c r="G25" i="5"/>
  <c r="F25" i="5"/>
  <c r="D25" i="5"/>
  <c r="E12" i="5"/>
  <c r="J12" i="5" s="1"/>
  <c r="E11" i="1" s="1"/>
  <c r="E11" i="5"/>
  <c r="E179" i="5" s="1"/>
  <c r="J179" i="5" s="1"/>
  <c r="E10" i="5"/>
  <c r="J10" i="5" s="1"/>
  <c r="E9" i="5"/>
  <c r="E8" i="5"/>
  <c r="J8" i="5" s="1"/>
  <c r="E7" i="1" s="1"/>
  <c r="E7" i="5"/>
  <c r="J7" i="5" s="1"/>
  <c r="E18" i="1" l="1"/>
  <c r="E177" i="5"/>
  <c r="J177" i="5" s="1"/>
  <c r="E73" i="5"/>
  <c r="J73" i="5" s="1"/>
  <c r="H11" i="1"/>
  <c r="G11" i="1"/>
  <c r="H7" i="1"/>
  <c r="G7" i="1"/>
  <c r="E5" i="1"/>
  <c r="H5" i="1" s="1"/>
  <c r="N5" i="1" s="1"/>
  <c r="E9" i="1"/>
  <c r="E109" i="5"/>
  <c r="H21" i="1"/>
  <c r="G21" i="1"/>
  <c r="H13" i="1"/>
  <c r="G13" i="1"/>
  <c r="J91" i="5"/>
  <c r="E6" i="1" s="1"/>
  <c r="H20" i="1"/>
  <c r="G20" i="1"/>
  <c r="H12" i="1"/>
  <c r="G12" i="1"/>
  <c r="E130" i="5"/>
  <c r="J112" i="5"/>
  <c r="H19" i="1"/>
  <c r="G19" i="1"/>
  <c r="E46" i="5"/>
  <c r="J28" i="5"/>
  <c r="E25" i="5"/>
  <c r="E180" i="5"/>
  <c r="J180" i="5" s="1"/>
  <c r="H18" i="1"/>
  <c r="G18" i="1"/>
  <c r="J11" i="5"/>
  <c r="E10" i="1" s="1"/>
  <c r="G178" i="5"/>
  <c r="G193" i="5" s="1"/>
  <c r="E151" i="5"/>
  <c r="J133" i="5"/>
  <c r="H17" i="1"/>
  <c r="G17" i="1"/>
  <c r="E88" i="5"/>
  <c r="J70" i="5"/>
  <c r="G151" i="5"/>
  <c r="E16" i="1"/>
  <c r="J9" i="5"/>
  <c r="E8" i="1" s="1"/>
  <c r="E15" i="1"/>
  <c r="E178" i="5"/>
  <c r="J178" i="5" s="1"/>
  <c r="E175" i="5"/>
  <c r="E176" i="5"/>
  <c r="J176" i="5" s="1"/>
  <c r="E67" i="5"/>
  <c r="J53" i="5"/>
  <c r="E172" i="5"/>
  <c r="J154" i="5"/>
  <c r="E22" i="1"/>
  <c r="E14" i="1"/>
  <c r="G172" i="5"/>
  <c r="D199" i="5"/>
  <c r="J13" i="1" l="1"/>
  <c r="P13" i="1" s="1"/>
  <c r="N13" i="1"/>
  <c r="J11" i="1"/>
  <c r="P11" i="1" s="1"/>
  <c r="N11" i="1"/>
  <c r="J20" i="1"/>
  <c r="P20" i="1" s="1"/>
  <c r="N20" i="1"/>
  <c r="J21" i="1"/>
  <c r="P21" i="1" s="1"/>
  <c r="N21" i="1"/>
  <c r="J7" i="1"/>
  <c r="P7" i="1" s="1"/>
  <c r="N7" i="1"/>
  <c r="J18" i="1"/>
  <c r="P18" i="1" s="1"/>
  <c r="N18" i="1"/>
  <c r="J17" i="1"/>
  <c r="P17" i="1" s="1"/>
  <c r="N17" i="1"/>
  <c r="J12" i="1"/>
  <c r="P12" i="1" s="1"/>
  <c r="N12" i="1"/>
  <c r="J19" i="1"/>
  <c r="P19" i="1" s="1"/>
  <c r="N19" i="1"/>
  <c r="H6" i="1"/>
  <c r="G6" i="1"/>
  <c r="H8" i="1"/>
  <c r="G8" i="1"/>
  <c r="H9" i="1"/>
  <c r="G9" i="1"/>
  <c r="J5" i="1"/>
  <c r="P5" i="1" s="1"/>
  <c r="J25" i="5"/>
  <c r="H10" i="1"/>
  <c r="G10" i="1"/>
  <c r="J175" i="5"/>
  <c r="E193" i="5"/>
  <c r="H14" i="1"/>
  <c r="G14" i="1"/>
  <c r="H16" i="1"/>
  <c r="G16" i="1"/>
  <c r="H22" i="1"/>
  <c r="G22" i="1"/>
  <c r="H15" i="1"/>
  <c r="G15" i="1"/>
  <c r="F24" i="1"/>
  <c r="E24" i="1"/>
  <c r="J14" i="1" l="1"/>
  <c r="P14" i="1" s="1"/>
  <c r="N14" i="1"/>
  <c r="J9" i="1"/>
  <c r="P9" i="1" s="1"/>
  <c r="N9" i="1"/>
  <c r="J15" i="1"/>
  <c r="P15" i="1" s="1"/>
  <c r="N15" i="1"/>
  <c r="J22" i="1"/>
  <c r="P22" i="1" s="1"/>
  <c r="N22" i="1"/>
  <c r="J6" i="1"/>
  <c r="P6" i="1" s="1"/>
  <c r="N6" i="1"/>
  <c r="J8" i="1"/>
  <c r="P8" i="1" s="1"/>
  <c r="N8" i="1"/>
  <c r="J10" i="1"/>
  <c r="P10" i="1" s="1"/>
  <c r="N10" i="1"/>
  <c r="J16" i="1"/>
  <c r="P16" i="1" s="1"/>
  <c r="N16" i="1"/>
  <c r="H24" i="1"/>
  <c r="G5" i="1"/>
  <c r="G24" i="1" s="1"/>
  <c r="F9" i="3"/>
  <c r="F6" i="3"/>
  <c r="F8" i="3"/>
  <c r="F5" i="3"/>
  <c r="B16" i="3"/>
  <c r="J24" i="1" l="1"/>
  <c r="B30" i="3"/>
  <c r="F16" i="3" s="1"/>
  <c r="B27" i="3" l="1"/>
  <c r="B21" i="3"/>
  <c r="B24" i="3" s="1"/>
  <c r="B28" i="3" s="1"/>
  <c r="B13" i="3"/>
  <c r="F13" i="3" s="1"/>
  <c r="B7" i="3"/>
  <c r="F7" i="3" s="1"/>
  <c r="E24" i="2"/>
  <c r="C24" i="2"/>
  <c r="B24" i="2"/>
  <c r="D23" i="2"/>
  <c r="F23" i="2" s="1"/>
  <c r="D22" i="2"/>
  <c r="F22" i="2" s="1"/>
  <c r="D21" i="2"/>
  <c r="F21" i="2" s="1"/>
  <c r="D20" i="2"/>
  <c r="F20" i="2" s="1"/>
  <c r="D19" i="2"/>
  <c r="F19" i="2" s="1"/>
  <c r="D18" i="2"/>
  <c r="F18" i="2" s="1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D11" i="2"/>
  <c r="F11" i="2" s="1"/>
  <c r="D10" i="2"/>
  <c r="F10" i="2" s="1"/>
  <c r="D9" i="2"/>
  <c r="F9" i="2" s="1"/>
  <c r="D8" i="2"/>
  <c r="F8" i="2" s="1"/>
  <c r="D7" i="2"/>
  <c r="F7" i="2" s="1"/>
  <c r="D6" i="2"/>
  <c r="F6" i="2" s="1"/>
  <c r="C55" i="1"/>
  <c r="B55" i="1"/>
  <c r="L24" i="1"/>
  <c r="K24" i="1"/>
  <c r="C24" i="1"/>
  <c r="AB23" i="1"/>
  <c r="W23" i="1"/>
  <c r="M22" i="1"/>
  <c r="B22" i="1"/>
  <c r="D22" i="1" s="1"/>
  <c r="M21" i="1"/>
  <c r="B21" i="1"/>
  <c r="M20" i="1"/>
  <c r="B20" i="1"/>
  <c r="M19" i="1"/>
  <c r="B19" i="1"/>
  <c r="M18" i="1"/>
  <c r="B18" i="1"/>
  <c r="D18" i="1" s="1"/>
  <c r="M17" i="1"/>
  <c r="B17" i="1"/>
  <c r="M16" i="1"/>
  <c r="B16" i="1"/>
  <c r="M15" i="1"/>
  <c r="B15" i="1"/>
  <c r="M14" i="1"/>
  <c r="B14" i="1"/>
  <c r="D14" i="1" s="1"/>
  <c r="M13" i="1"/>
  <c r="B13" i="1"/>
  <c r="M12" i="1"/>
  <c r="B12" i="1"/>
  <c r="M11" i="1"/>
  <c r="B11" i="1"/>
  <c r="M10" i="1"/>
  <c r="B10" i="1"/>
  <c r="D10" i="1" s="1"/>
  <c r="M9" i="1"/>
  <c r="B9" i="1"/>
  <c r="M8" i="1"/>
  <c r="B8" i="1"/>
  <c r="M7" i="1"/>
  <c r="B7" i="1"/>
  <c r="M6" i="1"/>
  <c r="B6" i="1"/>
  <c r="D6" i="1" s="1"/>
  <c r="M5" i="1"/>
  <c r="B5" i="1"/>
  <c r="B24" i="1" l="1"/>
  <c r="D16" i="1"/>
  <c r="Q16" i="1" s="1"/>
  <c r="R22" i="1"/>
  <c r="V22" i="1" s="1"/>
  <c r="X22" i="1" s="1"/>
  <c r="Z22" i="1" s="1"/>
  <c r="AA22" i="1" s="1"/>
  <c r="AC22" i="1" s="1"/>
  <c r="D20" i="1"/>
  <c r="D21" i="1"/>
  <c r="R21" i="1" s="1"/>
  <c r="V21" i="1" s="1"/>
  <c r="X21" i="1" s="1"/>
  <c r="Z21" i="1" s="1"/>
  <c r="AA21" i="1" s="1"/>
  <c r="AC21" i="1" s="1"/>
  <c r="D17" i="1"/>
  <c r="Q17" i="1" s="1"/>
  <c r="D13" i="1"/>
  <c r="R13" i="1" s="1"/>
  <c r="V13" i="1" s="1"/>
  <c r="X13" i="1" s="1"/>
  <c r="Z13" i="1" s="1"/>
  <c r="AA13" i="1" s="1"/>
  <c r="AC13" i="1" s="1"/>
  <c r="R14" i="1"/>
  <c r="V14" i="1" s="1"/>
  <c r="X14" i="1" s="1"/>
  <c r="Z14" i="1" s="1"/>
  <c r="AA14" i="1" s="1"/>
  <c r="AC14" i="1" s="1"/>
  <c r="D9" i="1"/>
  <c r="R9" i="1" s="1"/>
  <c r="V9" i="1" s="1"/>
  <c r="X9" i="1" s="1"/>
  <c r="Z9" i="1" s="1"/>
  <c r="AA9" i="1" s="1"/>
  <c r="AC9" i="1" s="1"/>
  <c r="M24" i="1"/>
  <c r="D5" i="1"/>
  <c r="B10" i="3"/>
  <c r="D24" i="2"/>
  <c r="F24" i="2" s="1"/>
  <c r="Q20" i="1"/>
  <c r="R20" i="1"/>
  <c r="V20" i="1" s="1"/>
  <c r="X20" i="1" s="1"/>
  <c r="Z20" i="1" s="1"/>
  <c r="AA20" i="1" s="1"/>
  <c r="AC20" i="1" s="1"/>
  <c r="Q14" i="1"/>
  <c r="R10" i="1"/>
  <c r="V10" i="1" s="1"/>
  <c r="X10" i="1" s="1"/>
  <c r="Z10" i="1" s="1"/>
  <c r="AA10" i="1" s="1"/>
  <c r="AC10" i="1" s="1"/>
  <c r="Q10" i="1"/>
  <c r="R18" i="1"/>
  <c r="V18" i="1" s="1"/>
  <c r="X18" i="1" s="1"/>
  <c r="Z18" i="1" s="1"/>
  <c r="AA18" i="1" s="1"/>
  <c r="AC18" i="1" s="1"/>
  <c r="Q18" i="1"/>
  <c r="R6" i="1"/>
  <c r="V6" i="1" s="1"/>
  <c r="X6" i="1" s="1"/>
  <c r="Z6" i="1" s="1"/>
  <c r="AA6" i="1" s="1"/>
  <c r="AC6" i="1" s="1"/>
  <c r="Q6" i="1"/>
  <c r="D12" i="1"/>
  <c r="D8" i="1"/>
  <c r="D7" i="1"/>
  <c r="D11" i="1"/>
  <c r="D15" i="1"/>
  <c r="D19" i="1"/>
  <c r="S18" i="1" l="1"/>
  <c r="Q22" i="1"/>
  <c r="R16" i="1"/>
  <c r="V16" i="1" s="1"/>
  <c r="X16" i="1" s="1"/>
  <c r="Z16" i="1" s="1"/>
  <c r="AA16" i="1" s="1"/>
  <c r="AC16" i="1" s="1"/>
  <c r="R17" i="1"/>
  <c r="V17" i="1" s="1"/>
  <c r="X17" i="1" s="1"/>
  <c r="Z17" i="1" s="1"/>
  <c r="AA17" i="1" s="1"/>
  <c r="AC17" i="1" s="1"/>
  <c r="Q21" i="1"/>
  <c r="S21" i="1" s="1"/>
  <c r="S16" i="1"/>
  <c r="S14" i="1"/>
  <c r="Q9" i="1"/>
  <c r="S9" i="1" s="1"/>
  <c r="Q13" i="1"/>
  <c r="S13" i="1" s="1"/>
  <c r="S22" i="1"/>
  <c r="B14" i="3"/>
  <c r="F10" i="3"/>
  <c r="R15" i="1"/>
  <c r="V15" i="1" s="1"/>
  <c r="X15" i="1" s="1"/>
  <c r="Z15" i="1" s="1"/>
  <c r="AA15" i="1" s="1"/>
  <c r="AC15" i="1" s="1"/>
  <c r="Q15" i="1"/>
  <c r="Q7" i="1"/>
  <c r="R7" i="1"/>
  <c r="V7" i="1" s="1"/>
  <c r="X7" i="1" s="1"/>
  <c r="Z7" i="1" s="1"/>
  <c r="AA7" i="1" s="1"/>
  <c r="AC7" i="1" s="1"/>
  <c r="R11" i="1"/>
  <c r="V11" i="1" s="1"/>
  <c r="X11" i="1" s="1"/>
  <c r="Z11" i="1" s="1"/>
  <c r="AA11" i="1" s="1"/>
  <c r="AC11" i="1" s="1"/>
  <c r="Q11" i="1"/>
  <c r="S11" i="1" s="1"/>
  <c r="R5" i="1"/>
  <c r="Q5" i="1"/>
  <c r="Q8" i="1"/>
  <c r="R8" i="1"/>
  <c r="V8" i="1" s="1"/>
  <c r="X8" i="1" s="1"/>
  <c r="Z8" i="1" s="1"/>
  <c r="AA8" i="1" s="1"/>
  <c r="AC8" i="1" s="1"/>
  <c r="Q12" i="1"/>
  <c r="R12" i="1"/>
  <c r="V12" i="1" s="1"/>
  <c r="X12" i="1" s="1"/>
  <c r="Z12" i="1" s="1"/>
  <c r="AA12" i="1" s="1"/>
  <c r="AC12" i="1" s="1"/>
  <c r="S20" i="1"/>
  <c r="R19" i="1"/>
  <c r="V19" i="1" s="1"/>
  <c r="X19" i="1" s="1"/>
  <c r="Z19" i="1" s="1"/>
  <c r="AA19" i="1" s="1"/>
  <c r="AC19" i="1" s="1"/>
  <c r="Q19" i="1"/>
  <c r="S19" i="1" s="1"/>
  <c r="D24" i="1"/>
  <c r="S6" i="1"/>
  <c r="S10" i="1"/>
  <c r="S17" i="1" l="1"/>
  <c r="S15" i="1"/>
  <c r="S8" i="1"/>
  <c r="F22" i="3"/>
  <c r="F14" i="3"/>
  <c r="F17" i="3" s="1"/>
  <c r="F19" i="3" s="1"/>
  <c r="F21" i="3" s="1"/>
  <c r="F23" i="3" s="1"/>
  <c r="B3" i="4" s="1"/>
  <c r="V5" i="1"/>
  <c r="R24" i="1"/>
  <c r="R26" i="1" s="1"/>
  <c r="S12" i="1"/>
  <c r="S7" i="1"/>
  <c r="S5" i="1"/>
  <c r="Q24" i="1"/>
  <c r="Q26" i="1" s="1"/>
  <c r="Q33" i="1" l="1"/>
  <c r="Q34" i="1"/>
  <c r="S24" i="1"/>
  <c r="S26" i="1" s="1"/>
  <c r="V23" i="1"/>
  <c r="X5" i="1"/>
  <c r="R34" i="1" l="1"/>
  <c r="S34" i="1" s="1"/>
  <c r="R33" i="1"/>
  <c r="S33" i="1" s="1"/>
  <c r="X23" i="1"/>
  <c r="Z5" i="1"/>
  <c r="Z23" i="1" l="1"/>
  <c r="AA5" i="1"/>
  <c r="AA23" i="1" l="1"/>
  <c r="AC5" i="1"/>
  <c r="AC23" i="1" s="1"/>
  <c r="B2" i="4" s="1"/>
  <c r="B4" i="4" s="1"/>
</calcChain>
</file>

<file path=xl/sharedStrings.xml><?xml version="1.0" encoding="utf-8"?>
<sst xmlns="http://schemas.openxmlformats.org/spreadsheetml/2006/main" count="443" uniqueCount="106">
  <si>
    <t>ANEC</t>
  </si>
  <si>
    <t>NSI kWh</t>
  </si>
  <si>
    <t>$/kWh</t>
  </si>
  <si>
    <t>"Merged Co" ANEC</t>
  </si>
  <si>
    <t>Prudent</t>
  </si>
  <si>
    <t>Actual</t>
  </si>
  <si>
    <t>Metro*</t>
  </si>
  <si>
    <t>West</t>
  </si>
  <si>
    <t>Total</t>
  </si>
  <si>
    <t>Metro</t>
  </si>
  <si>
    <t>B</t>
  </si>
  <si>
    <t>ANEC - B</t>
  </si>
  <si>
    <t>J</t>
  </si>
  <si>
    <t>J*(ANEC-B)</t>
  </si>
  <si>
    <t>Imprudence</t>
  </si>
  <si>
    <t>Difference</t>
  </si>
  <si>
    <t>* without SO2 ammortization</t>
  </si>
  <si>
    <t>SO2 disallowance</t>
  </si>
  <si>
    <t>Data Source: Section 8 filing workpapers in FAR cases</t>
  </si>
  <si>
    <t>Generation and Load Source:  Monthly Electric Generation submissions 3.190</t>
  </si>
  <si>
    <t xml:space="preserve">Wind PPA generation Source:  FAC Monthly reports </t>
  </si>
  <si>
    <t>Month</t>
  </si>
  <si>
    <t>Gen Total</t>
  </si>
  <si>
    <t>Wind PPA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</si>
  <si>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</si>
  <si>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</si>
  <si>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</si>
  <si>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</si>
  <si>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</si>
  <si>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</si>
  <si>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</si>
  <si>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</si>
  <si>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</si>
  <si>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</si>
  <si>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</si>
  <si>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</si>
  <si>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</si>
  <si>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</si>
  <si>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</si>
  <si>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</si>
  <si>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</si>
  <si>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</si>
  <si>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Gen/Load</t>
  </si>
  <si>
    <t>Load</t>
  </si>
  <si>
    <t>Plant &amp; Depr Exp Source:  Staff true-up EMS ER-2018-0145 &amp; 0146</t>
  </si>
  <si>
    <t>Total Prod Plant</t>
  </si>
  <si>
    <t>Total Other Prod</t>
  </si>
  <si>
    <t>Gen Plant rate base</t>
  </si>
  <si>
    <t xml:space="preserve">Rate of Return </t>
  </si>
  <si>
    <t>Return in RR</t>
  </si>
  <si>
    <t>Mo Juris Depr Exp</t>
  </si>
  <si>
    <t>Gen plant RR</t>
  </si>
  <si>
    <t>Total Co Depr Exp</t>
  </si>
  <si>
    <t>True up NSI</t>
  </si>
  <si>
    <t>NSI source:  Staff true-up NSI from Lange and Poston workpapers ER-2018-0145 &amp; 0146</t>
  </si>
  <si>
    <t>kWh</t>
  </si>
  <si>
    <t>Combined</t>
  </si>
  <si>
    <t>West @ avg comb</t>
  </si>
  <si>
    <t>18 mon West comb</t>
  </si>
  <si>
    <t>18 mon West only</t>
  </si>
  <si>
    <t>Prudence adj</t>
  </si>
  <si>
    <t>Fuel &amp; Purchased Power Imprudence</t>
  </si>
  <si>
    <t>Rate Base Imprudence</t>
  </si>
  <si>
    <t>Total Imprudence</t>
  </si>
  <si>
    <t xml:space="preserve">PPA losses </t>
  </si>
  <si>
    <t>Updated</t>
  </si>
  <si>
    <t>Energy Revenue</t>
  </si>
  <si>
    <t>Costs</t>
  </si>
  <si>
    <t>Received</t>
  </si>
  <si>
    <t>Total Costs</t>
  </si>
  <si>
    <t>Energy</t>
  </si>
  <si>
    <t>Curtailments</t>
  </si>
  <si>
    <t>From SPP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</si>
  <si>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</si>
  <si>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</si>
  <si>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</si>
  <si>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</si>
  <si>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</si>
  <si>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</si>
  <si>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</si>
  <si>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</si>
  <si>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</si>
  <si>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</si>
  <si>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</si>
  <si>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</si>
  <si>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CONFIDENTIAL</t>
  </si>
  <si>
    <t>Cimarron</t>
  </si>
  <si>
    <t>Osborn</t>
  </si>
  <si>
    <t>Rock Creek</t>
  </si>
  <si>
    <t>Slate Creek</t>
  </si>
  <si>
    <t>Spearville 3</t>
  </si>
  <si>
    <t>Waverly</t>
  </si>
  <si>
    <t>Pratt Wind</t>
  </si>
  <si>
    <t>Prairie Queen</t>
  </si>
  <si>
    <t>Cimarron &amp; Spearville 3</t>
  </si>
  <si>
    <t>Net</t>
  </si>
  <si>
    <t>ANEC w/o PPA losses</t>
  </si>
  <si>
    <t>Source: West DR 0051</t>
  </si>
  <si>
    <t>MWh</t>
  </si>
  <si>
    <t>Ensign</t>
  </si>
  <si>
    <t>Gray County</t>
  </si>
  <si>
    <t>Gray County &amp; Ensign</t>
  </si>
  <si>
    <t>Brooke Mastrogiannis direct testimony workpaper</t>
  </si>
  <si>
    <t>Brooke Mastrogiannis direct workpaper</t>
  </si>
  <si>
    <t>June 2021 data from 6/21 FAC monthly submission</t>
  </si>
  <si>
    <t>LMM-R-2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</si>
</sst>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0000_);_(* \(#,##0.00000\);_(* &quot;-&quot;??_);_(@_)"/>
    <numFmt numFmtId="167" formatCode="0.000%"/>
    <numFmt numFmtId="168" formatCode="&quot;$&quot;#,##0.00000_);[Red]\(&quot;$&quot;#,##0.00000\)"/>
    <numFmt numFmtId="169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9" fontId="0" fillId="0" borderId="14" xfId="0" applyNumberFormat="1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17" fontId="0" fillId="0" borderId="0" xfId="0" applyNumberFormat="1"/>
    <xf numFmtId="164" fontId="0" fillId="0" borderId="17" xfId="2" applyNumberFormat="1" applyFont="1" applyBorder="1"/>
    <xf numFmtId="164" fontId="0" fillId="0" borderId="18" xfId="2" applyNumberFormat="1" applyFont="1" applyBorder="1"/>
    <xf numFmtId="164" fontId="0" fillId="0" borderId="19" xfId="0" applyNumberFormat="1" applyBorder="1"/>
    <xf numFmtId="165" fontId="0" fillId="0" borderId="17" xfId="1" applyNumberFormat="1" applyFont="1" applyBorder="1"/>
    <xf numFmtId="165" fontId="0" fillId="0" borderId="18" xfId="1" applyNumberFormat="1" applyFont="1" applyBorder="1"/>
    <xf numFmtId="165" fontId="0" fillId="0" borderId="19" xfId="1" applyNumberFormat="1" applyFont="1" applyBorder="1"/>
    <xf numFmtId="166" fontId="0" fillId="0" borderId="17" xfId="0" applyNumberFormat="1" applyBorder="1"/>
    <xf numFmtId="166" fontId="0" fillId="0" borderId="18" xfId="0" applyNumberFormat="1" applyBorder="1"/>
    <xf numFmtId="166" fontId="0" fillId="0" borderId="19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7" fontId="0" fillId="0" borderId="10" xfId="3" applyNumberFormat="1" applyFont="1" applyBorder="1"/>
    <xf numFmtId="164" fontId="0" fillId="0" borderId="20" xfId="0" applyNumberFormat="1" applyBorder="1"/>
    <xf numFmtId="164" fontId="0" fillId="0" borderId="11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7" fontId="0" fillId="0" borderId="18" xfId="3" applyNumberFormat="1" applyFont="1" applyBorder="1"/>
    <xf numFmtId="164" fontId="0" fillId="0" borderId="21" xfId="0" applyNumberFormat="1" applyBorder="1"/>
    <xf numFmtId="164" fontId="0" fillId="0" borderId="22" xfId="0" applyNumberFormat="1" applyBorder="1"/>
    <xf numFmtId="164" fontId="0" fillId="0" borderId="23" xfId="0" applyNumberFormat="1" applyBorder="1"/>
    <xf numFmtId="167" fontId="0" fillId="0" borderId="23" xfId="3" applyNumberFormat="1" applyFont="1" applyBorder="1"/>
    <xf numFmtId="164" fontId="0" fillId="0" borderId="24" xfId="0" applyNumberFormat="1" applyBorder="1"/>
    <xf numFmtId="164" fontId="0" fillId="0" borderId="25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164" fontId="0" fillId="0" borderId="29" xfId="0" applyNumberFormat="1" applyBorder="1"/>
    <xf numFmtId="164" fontId="0" fillId="0" borderId="30" xfId="0" applyNumberFormat="1" applyBorder="1"/>
    <xf numFmtId="0" fontId="0" fillId="0" borderId="30" xfId="0" applyBorder="1"/>
    <xf numFmtId="164" fontId="0" fillId="0" borderId="31" xfId="0" applyNumberFormat="1" applyBorder="1"/>
    <xf numFmtId="164" fontId="0" fillId="0" borderId="32" xfId="0" applyNumberFormat="1" applyBorder="1"/>
    <xf numFmtId="164" fontId="0" fillId="0" borderId="33" xfId="0" applyNumberFormat="1" applyBorder="1"/>
    <xf numFmtId="164" fontId="0" fillId="0" borderId="34" xfId="0" applyNumberFormat="1" applyBorder="1"/>
    <xf numFmtId="164" fontId="0" fillId="0" borderId="35" xfId="0" applyNumberFormat="1" applyBorder="1"/>
    <xf numFmtId="165" fontId="0" fillId="0" borderId="33" xfId="1" applyNumberFormat="1" applyFont="1" applyBorder="1"/>
    <xf numFmtId="165" fontId="0" fillId="0" borderId="34" xfId="1" applyNumberFormat="1" applyFont="1" applyBorder="1"/>
    <xf numFmtId="165" fontId="0" fillId="0" borderId="35" xfId="1" applyNumberFormat="1" applyFont="1" applyBorder="1"/>
    <xf numFmtId="164" fontId="0" fillId="0" borderId="0" xfId="0" applyNumberFormat="1"/>
    <xf numFmtId="164" fontId="0" fillId="0" borderId="0" xfId="2" applyNumberFormat="1" applyFont="1" applyBorder="1"/>
    <xf numFmtId="0" fontId="0" fillId="0" borderId="0" xfId="0" applyBorder="1"/>
    <xf numFmtId="164" fontId="0" fillId="0" borderId="0" xfId="0" applyNumberFormat="1" applyBorder="1"/>
    <xf numFmtId="41" fontId="0" fillId="0" borderId="0" xfId="0" applyNumberFormat="1"/>
    <xf numFmtId="10" fontId="0" fillId="0" borderId="0" xfId="3" applyNumberFormat="1" applyFont="1"/>
    <xf numFmtId="6" fontId="0" fillId="0" borderId="0" xfId="0" applyNumberFormat="1"/>
    <xf numFmtId="38" fontId="0" fillId="0" borderId="0" xfId="0" applyNumberFormat="1"/>
    <xf numFmtId="10" fontId="0" fillId="0" borderId="0" xfId="0" applyNumberFormat="1"/>
    <xf numFmtId="168" fontId="0" fillId="0" borderId="0" xfId="0" applyNumberFormat="1"/>
    <xf numFmtId="166" fontId="0" fillId="0" borderId="15" xfId="0" applyNumberFormat="1" applyBorder="1"/>
    <xf numFmtId="166" fontId="0" fillId="0" borderId="36" xfId="0" applyNumberFormat="1" applyBorder="1"/>
    <xf numFmtId="166" fontId="0" fillId="0" borderId="16" xfId="0" applyNumberFormat="1" applyBorder="1"/>
    <xf numFmtId="43" fontId="0" fillId="0" borderId="0" xfId="0" applyNumberFormat="1"/>
    <xf numFmtId="0" fontId="0" fillId="0" borderId="37" xfId="0" applyBorder="1"/>
    <xf numFmtId="164" fontId="0" fillId="0" borderId="38" xfId="0" applyNumberFormat="1" applyBorder="1"/>
    <xf numFmtId="0" fontId="0" fillId="0" borderId="38" xfId="0" applyBorder="1"/>
    <xf numFmtId="165" fontId="0" fillId="0" borderId="0" xfId="1" applyNumberFormat="1" applyFont="1" applyFill="1"/>
    <xf numFmtId="44" fontId="0" fillId="0" borderId="0" xfId="2" applyFont="1" applyFill="1"/>
    <xf numFmtId="44" fontId="3" fillId="0" borderId="0" xfId="2" applyFont="1" applyFill="1" applyAlignment="1">
      <alignment horizontal="center"/>
    </xf>
    <xf numFmtId="44" fontId="2" fillId="0" borderId="0" xfId="2" applyFont="1" applyFill="1" applyAlignment="1">
      <alignment horizontal="center"/>
    </xf>
    <xf numFmtId="44" fontId="0" fillId="0" borderId="0" xfId="2" applyFont="1" applyFill="1" applyAlignment="1">
      <alignment horizontal="center"/>
    </xf>
    <xf numFmtId="44" fontId="2" fillId="0" borderId="39" xfId="2" applyFont="1" applyFill="1" applyBorder="1" applyAlignment="1">
      <alignment horizontal="center"/>
    </xf>
    <xf numFmtId="44" fontId="0" fillId="0" borderId="39" xfId="2" applyFont="1" applyFill="1" applyBorder="1" applyAlignment="1">
      <alignment horizontal="center"/>
    </xf>
    <xf numFmtId="44" fontId="0" fillId="0" borderId="40" xfId="2" applyFont="1" applyFill="1" applyBorder="1" applyAlignment="1">
      <alignment horizontal="center"/>
    </xf>
    <xf numFmtId="44" fontId="2" fillId="0" borderId="40" xfId="2" applyFont="1" applyFill="1" applyBorder="1" applyAlignment="1">
      <alignment horizontal="center"/>
    </xf>
    <xf numFmtId="44" fontId="0" fillId="0" borderId="0" xfId="2" applyFont="1" applyFill="1" applyBorder="1" applyAlignment="1">
      <alignment horizontal="center"/>
    </xf>
    <xf numFmtId="165" fontId="0" fillId="0" borderId="0" xfId="1" applyNumberFormat="1" applyFont="1" applyFill="1" applyBorder="1"/>
    <xf numFmtId="165" fontId="0" fillId="0" borderId="0" xfId="1" applyNumberFormat="1" applyFont="1" applyAlignment="1">
      <alignment horizontal="right"/>
    </xf>
    <xf numFmtId="44" fontId="0" fillId="0" borderId="0" xfId="2" applyFont="1"/>
    <xf numFmtId="165" fontId="0" fillId="0" borderId="0" xfId="1" applyNumberFormat="1" applyFont="1" applyFill="1" applyAlignment="1">
      <alignment horizontal="right"/>
    </xf>
    <xf numFmtId="44" fontId="0" fillId="0" borderId="41" xfId="2" applyFont="1" applyFill="1" applyBorder="1"/>
    <xf numFmtId="44" fontId="0" fillId="0" borderId="0" xfId="2" applyFont="1" applyFill="1" applyBorder="1"/>
    <xf numFmtId="0" fontId="4" fillId="0" borderId="0" xfId="0" applyFont="1"/>
    <xf numFmtId="0" fontId="2" fillId="0" borderId="0" xfId="0" applyFont="1"/>
    <xf numFmtId="0" fontId="0" fillId="0" borderId="0" xfId="0" applyAlignment="1">
      <alignment wrapText="1"/>
    </xf>
    <xf numFmtId="44" fontId="0" fillId="0" borderId="0" xfId="0" applyNumberFormat="1"/>
    <xf numFmtId="165" fontId="2" fillId="0" borderId="0" xfId="1" applyNumberFormat="1" applyFont="1" applyFill="1"/>
    <xf numFmtId="44" fontId="2" fillId="0" borderId="0" xfId="2" applyFont="1" applyFill="1"/>
    <xf numFmtId="43" fontId="2" fillId="0" borderId="0" xfId="1" applyFont="1" applyFill="1"/>
    <xf numFmtId="43" fontId="2" fillId="0" borderId="0" xfId="1" applyFont="1" applyFill="1" applyAlignment="1">
      <alignment horizontal="center"/>
    </xf>
    <xf numFmtId="165" fontId="2" fillId="0" borderId="39" xfId="1" applyNumberFormat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4" fontId="2" fillId="0" borderId="0" xfId="2" applyFont="1" applyFill="1" applyBorder="1" applyAlignment="1">
      <alignment horizontal="center"/>
    </xf>
    <xf numFmtId="169" fontId="2" fillId="0" borderId="0" xfId="0" applyNumberFormat="1" applyFont="1"/>
    <xf numFmtId="165" fontId="2" fillId="0" borderId="0" xfId="1" applyNumberFormat="1" applyFont="1" applyFill="1" applyBorder="1"/>
    <xf numFmtId="44" fontId="2" fillId="0" borderId="0" xfId="0" applyNumberFormat="1" applyFont="1"/>
    <xf numFmtId="165" fontId="2" fillId="0" borderId="0" xfId="0" applyNumberFormat="1" applyFont="1"/>
    <xf numFmtId="44" fontId="2" fillId="0" borderId="37" xfId="0" applyNumberFormat="1" applyFont="1" applyBorder="1"/>
    <xf numFmtId="44" fontId="2" fillId="0" borderId="41" xfId="2" applyFont="1" applyFill="1" applyBorder="1"/>
    <xf numFmtId="43" fontId="2" fillId="0" borderId="0" xfId="1" applyFont="1" applyFill="1" applyBorder="1"/>
    <xf numFmtId="44" fontId="2" fillId="0" borderId="0" xfId="2" applyFont="1" applyFill="1" applyBorder="1"/>
    <xf numFmtId="0" fontId="5" fillId="0" borderId="0" xfId="0" applyFont="1"/>
    <xf numFmtId="6" fontId="0" fillId="0" borderId="0" xfId="2" applyNumberFormat="1" applyFont="1" applyFill="1"/>
    <xf numFmtId="0" fontId="2" fillId="0" borderId="37" xfId="0" applyFont="1" applyBorder="1" applyAlignment="1">
      <alignment horizontal="center"/>
    </xf>
    <xf numFmtId="44" fontId="0" fillId="0" borderId="37" xfId="2" applyFont="1" applyFill="1" applyBorder="1" applyAlignment="1">
      <alignment horizontal="center"/>
    </xf>
    <xf numFmtId="0" fontId="6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A6" sqref="A6"/>
    </sheetView>
  </sheetViews>
  <sheetFormatPr defaultRowHeight="15" x14ac:dyDescent="0.25"/>
  <cols>
    <col min="1" max="1" width="33.42578125" bestFit="1" customWidth="1"/>
    <col min="2" max="2" width="14.42578125" bestFit="1" customWidth="1"/>
  </cols>
  <sheetData>
    <row r="1" spans="1:2" x14ac:dyDescent="0.25">
      <c r="A1" s="114" t="s">
        <v>105</v>
      </c>
    </row>
    <row r="2" spans="1:2" x14ac:dyDescent="0.25">
      <c r="A2" t="s">
        <v>61</v>
      </c>
      <c r="B2" s="61">
        <f>'Variable costs'!AC23</f>
        <v>-177666601.33348039</v>
      </c>
    </row>
    <row r="3" spans="1:2" x14ac:dyDescent="0.25">
      <c r="A3" t="s">
        <v>62</v>
      </c>
      <c r="B3" s="64">
        <f>'Fixed Costs'!F23</f>
        <v>78248211.13793391</v>
      </c>
    </row>
    <row r="4" spans="1:2" x14ac:dyDescent="0.25">
      <c r="A4" t="s">
        <v>63</v>
      </c>
      <c r="B4" s="58">
        <f>B2+B3</f>
        <v>-99418390.195546478</v>
      </c>
    </row>
  </sheetData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5"/>
  <sheetViews>
    <sheetView topLeftCell="T3" zoomScale="125" zoomScaleNormal="125" workbookViewId="0">
      <selection activeCell="T3" sqref="T3"/>
    </sheetView>
  </sheetViews>
  <sheetFormatPr defaultRowHeight="15" x14ac:dyDescent="0.25"/>
  <cols>
    <col min="2" max="13" width="16.140625" customWidth="1"/>
    <col min="14" max="16" width="10.5703125" customWidth="1"/>
    <col min="17" max="17" width="16.5703125" bestFit="1" customWidth="1"/>
    <col min="18" max="18" width="14.42578125" bestFit="1" customWidth="1"/>
    <col min="19" max="19" width="15.42578125" bestFit="1" customWidth="1"/>
    <col min="22" max="23" width="13.85546875" bestFit="1" customWidth="1"/>
    <col min="24" max="24" width="12.7109375" bestFit="1" customWidth="1"/>
    <col min="26" max="27" width="12.7109375" bestFit="1" customWidth="1"/>
    <col min="28" max="28" width="13.5703125" bestFit="1" customWidth="1"/>
    <col min="29" max="29" width="14.5703125" bestFit="1" customWidth="1"/>
  </cols>
  <sheetData>
    <row r="1" spans="1:29" x14ac:dyDescent="0.25">
      <c r="A1" t="s">
        <v>18</v>
      </c>
    </row>
    <row r="2" spans="1:29" ht="30.75" thickBot="1" x14ac:dyDescent="0.3">
      <c r="E2" s="93" t="s">
        <v>94</v>
      </c>
      <c r="F2" s="93" t="s">
        <v>101</v>
      </c>
    </row>
    <row r="3" spans="1:29" ht="16.5" thickTop="1" thickBot="1" x14ac:dyDescent="0.3">
      <c r="B3" s="1" t="s">
        <v>0</v>
      </c>
      <c r="C3" s="2"/>
      <c r="D3" s="3"/>
      <c r="E3" s="2" t="s">
        <v>64</v>
      </c>
      <c r="F3" s="2"/>
      <c r="G3" s="2"/>
      <c r="H3" s="2" t="s">
        <v>96</v>
      </c>
      <c r="I3" s="2"/>
      <c r="J3" s="2"/>
      <c r="K3" s="1" t="s">
        <v>1</v>
      </c>
      <c r="L3" s="2"/>
      <c r="M3" s="3"/>
      <c r="N3" s="1" t="s">
        <v>2</v>
      </c>
      <c r="O3" s="2"/>
      <c r="P3" s="3"/>
      <c r="Q3" s="1" t="s">
        <v>3</v>
      </c>
      <c r="R3" s="2"/>
      <c r="S3" s="3"/>
      <c r="T3" s="114" t="s">
        <v>105</v>
      </c>
      <c r="V3" s="4" t="s">
        <v>4</v>
      </c>
      <c r="W3" s="5" t="s">
        <v>5</v>
      </c>
      <c r="X3" s="5" t="s">
        <v>4</v>
      </c>
      <c r="Y3" s="5"/>
      <c r="Z3" s="5"/>
      <c r="AA3" s="6" t="s">
        <v>4</v>
      </c>
      <c r="AB3" s="7" t="s">
        <v>5</v>
      </c>
      <c r="AC3" s="8"/>
    </row>
    <row r="4" spans="1:29" ht="16.5" thickTop="1" thickBot="1" x14ac:dyDescent="0.3">
      <c r="B4" s="9" t="s">
        <v>6</v>
      </c>
      <c r="C4" s="10" t="s">
        <v>7</v>
      </c>
      <c r="D4" s="11" t="s">
        <v>8</v>
      </c>
      <c r="E4" s="9" t="s">
        <v>6</v>
      </c>
      <c r="F4" s="10" t="s">
        <v>7</v>
      </c>
      <c r="G4" s="11" t="s">
        <v>8</v>
      </c>
      <c r="H4" s="72"/>
      <c r="I4" s="72"/>
      <c r="J4" s="72"/>
      <c r="K4" s="9" t="s">
        <v>9</v>
      </c>
      <c r="L4" s="10" t="s">
        <v>7</v>
      </c>
      <c r="M4" s="11" t="s">
        <v>8</v>
      </c>
      <c r="N4" s="9" t="s">
        <v>9</v>
      </c>
      <c r="O4" s="10" t="s">
        <v>7</v>
      </c>
      <c r="P4" s="11" t="s">
        <v>8</v>
      </c>
      <c r="Q4" s="9" t="s">
        <v>9</v>
      </c>
      <c r="R4" s="10" t="s">
        <v>7</v>
      </c>
      <c r="S4" s="11" t="s">
        <v>8</v>
      </c>
      <c r="V4" s="12" t="s">
        <v>0</v>
      </c>
      <c r="W4" s="13" t="s">
        <v>10</v>
      </c>
      <c r="X4" s="13" t="s">
        <v>11</v>
      </c>
      <c r="Y4" s="13" t="s">
        <v>12</v>
      </c>
      <c r="Z4" s="13" t="s">
        <v>13</v>
      </c>
      <c r="AA4" s="14">
        <v>0.95</v>
      </c>
      <c r="AB4" s="15">
        <v>0.95</v>
      </c>
      <c r="AC4" s="16" t="s">
        <v>14</v>
      </c>
    </row>
    <row r="5" spans="1:29" ht="15.75" thickTop="1" x14ac:dyDescent="0.25">
      <c r="A5" s="17">
        <v>44348</v>
      </c>
      <c r="B5" s="18">
        <f>B36-C36</f>
        <v>27452321.169999983</v>
      </c>
      <c r="C5" s="19">
        <v>22714003.738239996</v>
      </c>
      <c r="D5" s="20">
        <f>B5+C5</f>
        <v>50166324.908239976</v>
      </c>
      <c r="E5" s="18">
        <f>'Metro PPAs'!J7+'Metro PPAs'!J91</f>
        <v>505523.07000000065</v>
      </c>
      <c r="F5" s="19">
        <f>'West PPAs'!K8+'West PPAs'!K29</f>
        <v>725636.23000000068</v>
      </c>
      <c r="G5" s="20">
        <f>E5+F5</f>
        <v>1231159.3000000012</v>
      </c>
      <c r="H5" s="73">
        <f>B5-E5</f>
        <v>26946798.099999983</v>
      </c>
      <c r="I5" s="73">
        <f>C5-F5</f>
        <v>21988367.508239996</v>
      </c>
      <c r="J5" s="73">
        <f>H5+I5</f>
        <v>48935165.608239979</v>
      </c>
      <c r="K5" s="21">
        <v>1460179000</v>
      </c>
      <c r="L5" s="22">
        <v>811124385</v>
      </c>
      <c r="M5" s="23">
        <f>K5+L5</f>
        <v>2271303385</v>
      </c>
      <c r="N5" s="24">
        <f>H5/K5</f>
        <v>1.845444846145574E-2</v>
      </c>
      <c r="O5" s="25">
        <f>I5/L5</f>
        <v>2.7108502610533644E-2</v>
      </c>
      <c r="P5" s="26">
        <f>J5/M5</f>
        <v>2.154497102034653E-2</v>
      </c>
      <c r="Q5" s="18">
        <f>$P5*K5</f>
        <v>31459514.239518575</v>
      </c>
      <c r="R5" s="19">
        <f>$P5*L5</f>
        <v>17475651.368721399</v>
      </c>
      <c r="S5" s="20">
        <f>Q5+R5</f>
        <v>48935165.608239979</v>
      </c>
      <c r="U5" s="17">
        <v>44348</v>
      </c>
      <c r="V5" s="27">
        <f>R5</f>
        <v>17475651.368721399</v>
      </c>
      <c r="W5" s="28">
        <v>18169186.223999999</v>
      </c>
      <c r="X5" s="28">
        <f>V5-W5</f>
        <v>-693534.85527860001</v>
      </c>
      <c r="Y5" s="29">
        <v>0.9975462687361768</v>
      </c>
      <c r="Z5" s="28">
        <f>X5*Y5</f>
        <v>-691833.10712165176</v>
      </c>
      <c r="AA5" s="30">
        <f>Z5*0.95</f>
        <v>-657241.45176556916</v>
      </c>
      <c r="AB5" s="27">
        <v>4306982.465746088</v>
      </c>
      <c r="AC5" s="31">
        <f t="shared" ref="AC5:AC22" si="0">AA5-AB5</f>
        <v>-4964223.9175116569</v>
      </c>
    </row>
    <row r="6" spans="1:29" x14ac:dyDescent="0.25">
      <c r="A6" s="17">
        <v>44378</v>
      </c>
      <c r="B6" s="18">
        <f t="shared" ref="B6:B22" si="1">B37-C37</f>
        <v>24292464.37999998</v>
      </c>
      <c r="C6" s="19">
        <v>27914808.570000004</v>
      </c>
      <c r="D6" s="20">
        <f t="shared" ref="D6:D22" si="2">B6+C6</f>
        <v>52207272.949999988</v>
      </c>
      <c r="E6" s="18">
        <f>'Metro PPAs'!J7+'Metro PPAs'!J91</f>
        <v>505523.07000000065</v>
      </c>
      <c r="F6" s="19">
        <f>'West PPAs'!K9+'West PPAs'!K30</f>
        <v>192079.37000000075</v>
      </c>
      <c r="G6" s="20">
        <f t="shared" ref="G6:G22" si="3">E6+F6</f>
        <v>697602.44000000134</v>
      </c>
      <c r="H6" s="73">
        <f t="shared" ref="H6:H22" si="4">B6-E6</f>
        <v>23786941.30999998</v>
      </c>
      <c r="I6" s="73">
        <f t="shared" ref="I6:I22" si="5">C6-F6</f>
        <v>27722729.200000003</v>
      </c>
      <c r="J6" s="73">
        <f t="shared" ref="J6:J22" si="6">H6+I6</f>
        <v>51509670.509999983</v>
      </c>
      <c r="K6" s="21">
        <v>1591472000</v>
      </c>
      <c r="L6" s="22">
        <v>882008878</v>
      </c>
      <c r="M6" s="23">
        <f t="shared" ref="M6:M22" si="7">K6+L6</f>
        <v>2473480878</v>
      </c>
      <c r="N6" s="24">
        <f t="shared" ref="N6:N22" si="8">H6/K6</f>
        <v>1.4946503180703135E-2</v>
      </c>
      <c r="O6" s="25">
        <f t="shared" ref="O6:O22" si="9">I6/L6</f>
        <v>3.143134937922927E-2</v>
      </c>
      <c r="P6" s="26">
        <f t="shared" ref="P6:P22" si="10">J6/M6</f>
        <v>2.0824770051042208E-2</v>
      </c>
      <c r="Q6" s="18">
        <f t="shared" ref="Q6:R22" si="11">$P6*K6</f>
        <v>33142038.442672245</v>
      </c>
      <c r="R6" s="19">
        <f t="shared" si="11"/>
        <v>18367632.067327742</v>
      </c>
      <c r="S6" s="20">
        <f t="shared" ref="S6:S22" si="12">Q6+R6</f>
        <v>51509670.50999999</v>
      </c>
      <c r="U6" s="17">
        <v>44378</v>
      </c>
      <c r="V6" s="32">
        <f t="shared" ref="V6:V22" si="13">R6</f>
        <v>18367632.067327742</v>
      </c>
      <c r="W6" s="33">
        <v>19756998.867199998</v>
      </c>
      <c r="X6" s="33">
        <f t="shared" ref="X6:X22" si="14">V6-W6</f>
        <v>-1389366.7998722568</v>
      </c>
      <c r="Y6" s="34">
        <v>0.99590537953607028</v>
      </c>
      <c r="Z6" s="33">
        <f t="shared" ref="Z6:Z22" si="15">X6*Y6</f>
        <v>-1383677.8701415954</v>
      </c>
      <c r="AA6" s="35">
        <f t="shared" ref="AA6:AA22" si="16">Z6*0.95</f>
        <v>-1314493.9766345154</v>
      </c>
      <c r="AB6" s="32">
        <v>7718186.239837572</v>
      </c>
      <c r="AC6" s="20">
        <f t="shared" si="0"/>
        <v>-9032680.2164720874</v>
      </c>
    </row>
    <row r="7" spans="1:29" x14ac:dyDescent="0.25">
      <c r="A7" s="17">
        <v>44409</v>
      </c>
      <c r="B7" s="18">
        <f t="shared" si="1"/>
        <v>22593176.940000013</v>
      </c>
      <c r="C7" s="19">
        <v>33432715.949999996</v>
      </c>
      <c r="D7" s="20">
        <f t="shared" si="2"/>
        <v>56025892.890000008</v>
      </c>
      <c r="E7" s="18">
        <f>'Metro PPAs'!J8+'Metro PPAs'!J92</f>
        <v>1243404.4400000009</v>
      </c>
      <c r="F7" s="19">
        <f>'West PPAs'!K10+'West PPAs'!K31</f>
        <v>728653.9399999989</v>
      </c>
      <c r="G7" s="20">
        <f t="shared" si="3"/>
        <v>1972058.38</v>
      </c>
      <c r="H7" s="73">
        <f t="shared" si="4"/>
        <v>21349772.500000011</v>
      </c>
      <c r="I7" s="73">
        <f t="shared" si="5"/>
        <v>32704062.009999998</v>
      </c>
      <c r="J7" s="73">
        <f t="shared" si="6"/>
        <v>54053834.510000005</v>
      </c>
      <c r="K7" s="21">
        <v>1647762000</v>
      </c>
      <c r="L7" s="22">
        <v>915118865</v>
      </c>
      <c r="M7" s="23">
        <f t="shared" si="7"/>
        <v>2562880865</v>
      </c>
      <c r="N7" s="24">
        <f t="shared" si="8"/>
        <v>1.2956830233977971E-2</v>
      </c>
      <c r="O7" s="25">
        <f t="shared" si="9"/>
        <v>3.5737501717877929E-2</v>
      </c>
      <c r="P7" s="26">
        <f t="shared" si="10"/>
        <v>2.1091044553879411E-2</v>
      </c>
      <c r="Q7" s="18">
        <f t="shared" si="11"/>
        <v>34753021.756189443</v>
      </c>
      <c r="R7" s="19">
        <f t="shared" si="11"/>
        <v>19300812.753810558</v>
      </c>
      <c r="S7" s="20">
        <f t="shared" si="12"/>
        <v>54053834.510000005</v>
      </c>
      <c r="U7" s="17">
        <v>44409</v>
      </c>
      <c r="V7" s="32">
        <f t="shared" si="13"/>
        <v>19300812.753810558</v>
      </c>
      <c r="W7" s="33">
        <v>20498662.576000001</v>
      </c>
      <c r="X7" s="33">
        <f t="shared" si="14"/>
        <v>-1197849.8221894428</v>
      </c>
      <c r="Y7" s="34">
        <v>0.99763574311842185</v>
      </c>
      <c r="Z7" s="33">
        <f t="shared" si="15"/>
        <v>-1195017.7975042344</v>
      </c>
      <c r="AA7" s="35">
        <f t="shared" si="16"/>
        <v>-1135266.9076290226</v>
      </c>
      <c r="AB7" s="32">
        <v>12258300.251838624</v>
      </c>
      <c r="AC7" s="20">
        <f t="shared" si="0"/>
        <v>-13393567.159467647</v>
      </c>
    </row>
    <row r="8" spans="1:29" x14ac:dyDescent="0.25">
      <c r="A8" s="17">
        <v>44440</v>
      </c>
      <c r="B8" s="18">
        <f t="shared" si="1"/>
        <v>19924704.430000003</v>
      </c>
      <c r="C8" s="19">
        <v>25448516.880479999</v>
      </c>
      <c r="D8" s="20">
        <f t="shared" si="2"/>
        <v>45373221.310479999</v>
      </c>
      <c r="E8" s="18">
        <f>'Metro PPAs'!J9+'Metro PPAs'!J93</f>
        <v>1950188.4900000002</v>
      </c>
      <c r="F8" s="19">
        <f>'West PPAs'!K11+'West PPAs'!K32</f>
        <v>1232642.0900000001</v>
      </c>
      <c r="G8" s="20">
        <f t="shared" si="3"/>
        <v>3182830.58</v>
      </c>
      <c r="H8" s="73">
        <f t="shared" si="4"/>
        <v>17974515.940000005</v>
      </c>
      <c r="I8" s="73">
        <f t="shared" si="5"/>
        <v>24215874.790479999</v>
      </c>
      <c r="J8" s="73">
        <f t="shared" si="6"/>
        <v>42190390.73048</v>
      </c>
      <c r="K8" s="21">
        <v>1353717000</v>
      </c>
      <c r="L8" s="22">
        <v>755196081</v>
      </c>
      <c r="M8" s="23">
        <f t="shared" si="7"/>
        <v>2108913081</v>
      </c>
      <c r="N8" s="24">
        <f t="shared" si="8"/>
        <v>1.3277897773315991E-2</v>
      </c>
      <c r="O8" s="25">
        <f t="shared" si="9"/>
        <v>3.2065678569748825E-2</v>
      </c>
      <c r="P8" s="26">
        <f t="shared" si="10"/>
        <v>2.0005751356274127E-2</v>
      </c>
      <c r="Q8" s="18">
        <f t="shared" si="11"/>
        <v>27082125.708761342</v>
      </c>
      <c r="R8" s="19">
        <f t="shared" si="11"/>
        <v>15108265.021718655</v>
      </c>
      <c r="S8" s="20">
        <f t="shared" si="12"/>
        <v>42190390.73048</v>
      </c>
      <c r="U8" s="17">
        <v>44440</v>
      </c>
      <c r="V8" s="32">
        <f t="shared" si="13"/>
        <v>15108265.021718655</v>
      </c>
      <c r="W8" s="33">
        <v>16916392.214400001</v>
      </c>
      <c r="X8" s="33">
        <f t="shared" si="14"/>
        <v>-1808127.1926813461</v>
      </c>
      <c r="Y8" s="34">
        <v>0.99723089575698842</v>
      </c>
      <c r="Z8" s="33">
        <f t="shared" si="15"/>
        <v>-1803120.3000001875</v>
      </c>
      <c r="AA8" s="35">
        <f t="shared" si="16"/>
        <v>-1712964.285000178</v>
      </c>
      <c r="AB8" s="32">
        <v>8083073.4072919888</v>
      </c>
      <c r="AC8" s="20">
        <f t="shared" si="0"/>
        <v>-9796037.6922921669</v>
      </c>
    </row>
    <row r="9" spans="1:29" x14ac:dyDescent="0.25">
      <c r="A9" s="17">
        <v>44470</v>
      </c>
      <c r="B9" s="18">
        <f t="shared" si="1"/>
        <v>11304823.630000003</v>
      </c>
      <c r="C9" s="19">
        <v>18889388.686480012</v>
      </c>
      <c r="D9" s="20">
        <f t="shared" si="2"/>
        <v>30194212.316480014</v>
      </c>
      <c r="E9" s="18">
        <f>'Metro PPAs'!J10+'Metro PPAs'!J94</f>
        <v>1584121.6999999997</v>
      </c>
      <c r="F9" s="19">
        <f>'West PPAs'!K12+'West PPAs'!K33</f>
        <v>426729.8800000003</v>
      </c>
      <c r="G9" s="20">
        <f t="shared" si="3"/>
        <v>2010851.58</v>
      </c>
      <c r="H9" s="73">
        <f t="shared" si="4"/>
        <v>9720701.9300000034</v>
      </c>
      <c r="I9" s="73">
        <f t="shared" si="5"/>
        <v>18462658.806480013</v>
      </c>
      <c r="J9" s="73">
        <f t="shared" si="6"/>
        <v>28183360.736480016</v>
      </c>
      <c r="K9" s="21">
        <v>1125046000</v>
      </c>
      <c r="L9" s="22">
        <v>634664103</v>
      </c>
      <c r="M9" s="23">
        <f t="shared" si="7"/>
        <v>1759710103</v>
      </c>
      <c r="N9" s="24">
        <f t="shared" si="8"/>
        <v>8.6402706467113375E-3</v>
      </c>
      <c r="O9" s="25">
        <f t="shared" si="9"/>
        <v>2.9090441257365415E-2</v>
      </c>
      <c r="P9" s="26">
        <f t="shared" si="10"/>
        <v>1.601591119379964E-2</v>
      </c>
      <c r="Q9" s="18">
        <f t="shared" si="11"/>
        <v>18018636.824939512</v>
      </c>
      <c r="R9" s="19">
        <f t="shared" si="11"/>
        <v>10164723.911540508</v>
      </c>
      <c r="S9" s="20">
        <f t="shared" si="12"/>
        <v>28183360.73648002</v>
      </c>
      <c r="U9" s="17">
        <v>44470</v>
      </c>
      <c r="V9" s="32">
        <f t="shared" si="13"/>
        <v>10164723.911540508</v>
      </c>
      <c r="W9" s="33">
        <v>14216475.907199999</v>
      </c>
      <c r="X9" s="33">
        <f t="shared" si="14"/>
        <v>-4051751.995659491</v>
      </c>
      <c r="Y9" s="34">
        <v>0.99811600283428947</v>
      </c>
      <c r="Z9" s="33">
        <f t="shared" si="15"/>
        <v>-4044118.5063835066</v>
      </c>
      <c r="AA9" s="35">
        <f t="shared" si="16"/>
        <v>-3841912.5810643309</v>
      </c>
      <c r="AB9" s="32">
        <v>4430903.5736058243</v>
      </c>
      <c r="AC9" s="20">
        <f t="shared" si="0"/>
        <v>-8272816.1546701547</v>
      </c>
    </row>
    <row r="10" spans="1:29" x14ac:dyDescent="0.25">
      <c r="A10" s="17">
        <v>44501</v>
      </c>
      <c r="B10" s="18">
        <f t="shared" si="1"/>
        <v>25579685.859999999</v>
      </c>
      <c r="C10" s="19">
        <v>25978989.760000002</v>
      </c>
      <c r="D10" s="20">
        <f t="shared" si="2"/>
        <v>51558675.620000005</v>
      </c>
      <c r="E10" s="18">
        <f>'Metro PPAs'!J11+'Metro PPAs'!J95</f>
        <v>789812.55999999982</v>
      </c>
      <c r="F10" s="19">
        <f>'West PPAs'!K13+'West PPAs'!K34</f>
        <v>1125794.1500000001</v>
      </c>
      <c r="G10" s="20">
        <f t="shared" si="3"/>
        <v>1915606.71</v>
      </c>
      <c r="H10" s="73">
        <f t="shared" si="4"/>
        <v>24789873.300000001</v>
      </c>
      <c r="I10" s="73">
        <f t="shared" si="5"/>
        <v>24853195.610000003</v>
      </c>
      <c r="J10" s="73">
        <f t="shared" si="6"/>
        <v>49643068.910000004</v>
      </c>
      <c r="K10" s="21">
        <v>1116024000</v>
      </c>
      <c r="L10" s="22">
        <v>639260183</v>
      </c>
      <c r="M10" s="23">
        <f t="shared" si="7"/>
        <v>1755284183</v>
      </c>
      <c r="N10" s="24">
        <f t="shared" si="8"/>
        <v>2.2212670426442444E-2</v>
      </c>
      <c r="O10" s="25">
        <f t="shared" si="9"/>
        <v>3.8878059780551047E-2</v>
      </c>
      <c r="P10" s="26">
        <f t="shared" si="10"/>
        <v>2.8282069302962554E-2</v>
      </c>
      <c r="Q10" s="18">
        <f t="shared" si="11"/>
        <v>31563468.111769482</v>
      </c>
      <c r="R10" s="19">
        <f t="shared" si="11"/>
        <v>18079600.798230525</v>
      </c>
      <c r="S10" s="20">
        <f t="shared" si="12"/>
        <v>49643068.910000011</v>
      </c>
      <c r="U10" s="17">
        <v>44501</v>
      </c>
      <c r="V10" s="32">
        <f t="shared" si="13"/>
        <v>18079600.798230525</v>
      </c>
      <c r="W10" s="33">
        <v>14319428.099199999</v>
      </c>
      <c r="X10" s="33">
        <f t="shared" si="14"/>
        <v>3760172.699030526</v>
      </c>
      <c r="Y10" s="34">
        <v>0.99863877585104233</v>
      </c>
      <c r="Z10" s="33">
        <f t="shared" si="15"/>
        <v>3755054.2611483545</v>
      </c>
      <c r="AA10" s="35">
        <f t="shared" si="16"/>
        <v>3567301.5480909366</v>
      </c>
      <c r="AB10" s="32">
        <v>11061505.864706006</v>
      </c>
      <c r="AC10" s="20">
        <f t="shared" si="0"/>
        <v>-7494204.3166150693</v>
      </c>
    </row>
    <row r="11" spans="1:29" x14ac:dyDescent="0.25">
      <c r="A11" s="17">
        <v>44531</v>
      </c>
      <c r="B11" s="18">
        <f t="shared" si="1"/>
        <v>28640682.430000003</v>
      </c>
      <c r="C11" s="19">
        <v>19794289.629439998</v>
      </c>
      <c r="D11" s="20">
        <f t="shared" si="2"/>
        <v>48434972.059440002</v>
      </c>
      <c r="E11" s="18">
        <f>'Metro PPAs'!J12+'Metro PPAs'!J96</f>
        <v>1740457.3599999996</v>
      </c>
      <c r="F11" s="19">
        <f>'West PPAs'!K14+'West PPAs'!K35</f>
        <v>1347211.1599999992</v>
      </c>
      <c r="G11" s="20">
        <f t="shared" si="3"/>
        <v>3087668.5199999986</v>
      </c>
      <c r="H11" s="73">
        <f t="shared" si="4"/>
        <v>26900225.070000004</v>
      </c>
      <c r="I11" s="73">
        <f t="shared" si="5"/>
        <v>18447078.469439998</v>
      </c>
      <c r="J11" s="73">
        <f t="shared" si="6"/>
        <v>45347303.539440006</v>
      </c>
      <c r="K11" s="21">
        <v>1216804000</v>
      </c>
      <c r="L11" s="22">
        <v>699312303</v>
      </c>
      <c r="M11" s="23">
        <f t="shared" si="7"/>
        <v>1916116303</v>
      </c>
      <c r="N11" s="24">
        <f t="shared" si="8"/>
        <v>2.2107278633206336E-2</v>
      </c>
      <c r="O11" s="25">
        <f t="shared" si="9"/>
        <v>2.6378884498818832E-2</v>
      </c>
      <c r="P11" s="26">
        <f t="shared" si="10"/>
        <v>2.3666258393836133E-2</v>
      </c>
      <c r="Q11" s="18">
        <f t="shared" si="11"/>
        <v>28797197.878653381</v>
      </c>
      <c r="R11" s="19">
        <f t="shared" si="11"/>
        <v>16550105.660786627</v>
      </c>
      <c r="S11" s="20">
        <f t="shared" si="12"/>
        <v>45347303.539440006</v>
      </c>
      <c r="U11" s="17">
        <v>44531</v>
      </c>
      <c r="V11" s="32">
        <f t="shared" si="13"/>
        <v>16550105.660786627</v>
      </c>
      <c r="W11" s="33">
        <v>15664595.587199999</v>
      </c>
      <c r="X11" s="33">
        <f t="shared" si="14"/>
        <v>885510.07358662784</v>
      </c>
      <c r="Y11" s="34">
        <v>0.99782164664005646</v>
      </c>
      <c r="Z11" s="33">
        <f t="shared" si="15"/>
        <v>883581.1197425666</v>
      </c>
      <c r="AA11" s="35">
        <f t="shared" si="16"/>
        <v>839402.0637554382</v>
      </c>
      <c r="AB11" s="32">
        <v>3914663.2038801694</v>
      </c>
      <c r="AC11" s="20">
        <f t="shared" si="0"/>
        <v>-3075261.1401247312</v>
      </c>
    </row>
    <row r="12" spans="1:29" x14ac:dyDescent="0.25">
      <c r="A12" s="17">
        <v>44562</v>
      </c>
      <c r="B12" s="18">
        <f t="shared" si="1"/>
        <v>28100018.289999995</v>
      </c>
      <c r="C12" s="19">
        <v>30703442.773520004</v>
      </c>
      <c r="D12" s="20">
        <f t="shared" si="2"/>
        <v>58803461.063519999</v>
      </c>
      <c r="E12" s="18">
        <f>'Metro PPAs'!J13+'Metro PPAs'!J97</f>
        <v>2104485.6300000004</v>
      </c>
      <c r="F12" s="19">
        <f>'West PPAs'!K15+'West PPAs'!K36</f>
        <v>726714.34999999974</v>
      </c>
      <c r="G12" s="20">
        <f t="shared" si="3"/>
        <v>2831199.98</v>
      </c>
      <c r="H12" s="73">
        <f t="shared" si="4"/>
        <v>25995532.659999996</v>
      </c>
      <c r="I12" s="73">
        <f t="shared" si="5"/>
        <v>29976728.423520003</v>
      </c>
      <c r="J12" s="73">
        <f t="shared" si="6"/>
        <v>55972261.083519995</v>
      </c>
      <c r="K12" s="21">
        <v>1428884000</v>
      </c>
      <c r="L12" s="22">
        <v>858390630</v>
      </c>
      <c r="M12" s="23">
        <f t="shared" si="7"/>
        <v>2287274630</v>
      </c>
      <c r="N12" s="24">
        <f t="shared" si="8"/>
        <v>1.8192892257174128E-2</v>
      </c>
      <c r="O12" s="25">
        <f t="shared" si="9"/>
        <v>3.492201263138206E-2</v>
      </c>
      <c r="P12" s="26">
        <f t="shared" si="10"/>
        <v>2.4471158972073238E-2</v>
      </c>
      <c r="Q12" s="18">
        <f t="shared" si="11"/>
        <v>34966447.516651899</v>
      </c>
      <c r="R12" s="19">
        <f t="shared" si="11"/>
        <v>21005813.5668681</v>
      </c>
      <c r="S12" s="20">
        <f t="shared" si="12"/>
        <v>55972261.083519995</v>
      </c>
      <c r="U12" s="17">
        <v>44562</v>
      </c>
      <c r="V12" s="32">
        <f t="shared" si="13"/>
        <v>21005813.5668681</v>
      </c>
      <c r="W12" s="33">
        <v>19227950.112</v>
      </c>
      <c r="X12" s="33">
        <f t="shared" si="14"/>
        <v>1777863.4548681006</v>
      </c>
      <c r="Y12" s="34">
        <v>0.99823557792230733</v>
      </c>
      <c r="Z12" s="33">
        <f t="shared" si="15"/>
        <v>1774726.5533372082</v>
      </c>
      <c r="AA12" s="35">
        <f t="shared" si="16"/>
        <v>1685990.2256703477</v>
      </c>
      <c r="AB12" s="32">
        <v>10882482.796469837</v>
      </c>
      <c r="AC12" s="20">
        <f t="shared" si="0"/>
        <v>-9196492.5707994904</v>
      </c>
    </row>
    <row r="13" spans="1:29" x14ac:dyDescent="0.25">
      <c r="A13" s="17">
        <v>44593</v>
      </c>
      <c r="B13" s="18">
        <f t="shared" si="1"/>
        <v>20191023.019999996</v>
      </c>
      <c r="C13" s="19">
        <v>25013911.070000004</v>
      </c>
      <c r="D13" s="20">
        <f t="shared" si="2"/>
        <v>45204934.090000004</v>
      </c>
      <c r="E13" s="18">
        <f>'Metro PPAs'!J14+'Metro PPAs'!J98</f>
        <v>2304542.96</v>
      </c>
      <c r="F13" s="19">
        <f>'West PPAs'!K16+'West PPAs'!K37</f>
        <v>1357621.1500000011</v>
      </c>
      <c r="G13" s="20">
        <f t="shared" si="3"/>
        <v>3662164.1100000013</v>
      </c>
      <c r="H13" s="73">
        <f t="shared" si="4"/>
        <v>17886480.059999995</v>
      </c>
      <c r="I13" s="73">
        <f t="shared" si="5"/>
        <v>23656289.920000002</v>
      </c>
      <c r="J13" s="73">
        <f t="shared" si="6"/>
        <v>41542769.979999997</v>
      </c>
      <c r="K13" s="21">
        <v>1242518000</v>
      </c>
      <c r="L13" s="22">
        <v>743065703</v>
      </c>
      <c r="M13" s="23">
        <f t="shared" si="7"/>
        <v>1985583703</v>
      </c>
      <c r="N13" s="24">
        <f t="shared" si="8"/>
        <v>1.4395348848064973E-2</v>
      </c>
      <c r="O13" s="25">
        <f t="shared" si="9"/>
        <v>3.1836067557003099E-2</v>
      </c>
      <c r="P13" s="26">
        <f t="shared" si="10"/>
        <v>2.0922195280528043E-2</v>
      </c>
      <c r="Q13" s="18">
        <f t="shared" si="11"/>
        <v>25996204.235571142</v>
      </c>
      <c r="R13" s="19">
        <f t="shared" si="11"/>
        <v>15546565.744428853</v>
      </c>
      <c r="S13" s="20">
        <f t="shared" si="12"/>
        <v>41542769.979999997</v>
      </c>
      <c r="U13" s="17">
        <v>44593</v>
      </c>
      <c r="V13" s="32">
        <f t="shared" si="13"/>
        <v>15546565.744428853</v>
      </c>
      <c r="W13" s="33">
        <v>16644671.747199999</v>
      </c>
      <c r="X13" s="33">
        <f t="shared" si="14"/>
        <v>-1098106.0027711466</v>
      </c>
      <c r="Y13" s="34">
        <v>0.99782164664005646</v>
      </c>
      <c r="Z13" s="33">
        <f t="shared" si="15"/>
        <v>-1095713.939870436</v>
      </c>
      <c r="AA13" s="35">
        <f t="shared" si="16"/>
        <v>-1040928.2428769141</v>
      </c>
      <c r="AB13" s="32">
        <v>7933457.7540909611</v>
      </c>
      <c r="AC13" s="20">
        <f t="shared" si="0"/>
        <v>-8974385.9969678745</v>
      </c>
    </row>
    <row r="14" spans="1:29" x14ac:dyDescent="0.25">
      <c r="A14" s="17">
        <v>44621</v>
      </c>
      <c r="B14" s="18">
        <f t="shared" si="1"/>
        <v>26555696.350000009</v>
      </c>
      <c r="C14" s="19">
        <v>19708800.207680002</v>
      </c>
      <c r="D14" s="20">
        <f t="shared" si="2"/>
        <v>46264496.557680011</v>
      </c>
      <c r="E14" s="18">
        <f>'Metro PPAs'!J15+'Metro PPAs'!J99</f>
        <v>2957750.19</v>
      </c>
      <c r="F14" s="19">
        <f>'West PPAs'!K17+'West PPAs'!K38</f>
        <v>2261043.9299999997</v>
      </c>
      <c r="G14" s="20">
        <f t="shared" si="3"/>
        <v>5218794.1199999992</v>
      </c>
      <c r="H14" s="73">
        <f t="shared" si="4"/>
        <v>23597946.160000008</v>
      </c>
      <c r="I14" s="73">
        <f t="shared" si="5"/>
        <v>17447756.277680002</v>
      </c>
      <c r="J14" s="73">
        <f t="shared" si="6"/>
        <v>41045702.437680006</v>
      </c>
      <c r="K14" s="21">
        <v>1211183000</v>
      </c>
      <c r="L14" s="22">
        <v>691267234</v>
      </c>
      <c r="M14" s="23">
        <f t="shared" si="7"/>
        <v>1902450234</v>
      </c>
      <c r="N14" s="24">
        <f t="shared" si="8"/>
        <v>1.9483386210011212E-2</v>
      </c>
      <c r="O14" s="25">
        <f t="shared" si="9"/>
        <v>2.5240247793489372E-2</v>
      </c>
      <c r="P14" s="26">
        <f t="shared" si="10"/>
        <v>2.1575178001570793E-2</v>
      </c>
      <c r="Q14" s="18">
        <f t="shared" si="11"/>
        <v>26131488.817476518</v>
      </c>
      <c r="R14" s="19">
        <f t="shared" si="11"/>
        <v>14914213.620203489</v>
      </c>
      <c r="S14" s="20">
        <f t="shared" si="12"/>
        <v>41045702.437680006</v>
      </c>
      <c r="U14" s="17">
        <v>44621</v>
      </c>
      <c r="V14" s="32">
        <f t="shared" si="13"/>
        <v>14914213.620203489</v>
      </c>
      <c r="W14" s="33">
        <v>15484386.0416</v>
      </c>
      <c r="X14" s="33">
        <f t="shared" si="14"/>
        <v>-570172.42139651068</v>
      </c>
      <c r="Y14" s="34">
        <v>0.99805763656031687</v>
      </c>
      <c r="Z14" s="33">
        <f t="shared" si="15"/>
        <v>-569064.93933087448</v>
      </c>
      <c r="AA14" s="35">
        <f t="shared" si="16"/>
        <v>-540611.69236433075</v>
      </c>
      <c r="AB14" s="32">
        <v>4005398.3775272416</v>
      </c>
      <c r="AC14" s="20">
        <f t="shared" si="0"/>
        <v>-4546010.069891572</v>
      </c>
    </row>
    <row r="15" spans="1:29" x14ac:dyDescent="0.25">
      <c r="A15" s="17">
        <v>44652</v>
      </c>
      <c r="B15" s="18">
        <f t="shared" si="1"/>
        <v>14044508.889163166</v>
      </c>
      <c r="C15" s="19">
        <v>20856569.16</v>
      </c>
      <c r="D15" s="20">
        <f t="shared" si="2"/>
        <v>34901078.049163163</v>
      </c>
      <c r="E15" s="18">
        <f>'Metro PPAs'!J16+'Metro PPAs'!J100</f>
        <v>3423723.2199999997</v>
      </c>
      <c r="F15" s="19">
        <f>'West PPAs'!K18+'West PPAs'!K39</f>
        <v>2445106.9500000034</v>
      </c>
      <c r="G15" s="20">
        <f t="shared" si="3"/>
        <v>5868830.1700000037</v>
      </c>
      <c r="H15" s="73">
        <f t="shared" si="4"/>
        <v>10620785.669163167</v>
      </c>
      <c r="I15" s="73">
        <f t="shared" si="5"/>
        <v>18411462.209999997</v>
      </c>
      <c r="J15" s="73">
        <f t="shared" si="6"/>
        <v>29032247.879163165</v>
      </c>
      <c r="K15" s="21">
        <v>1065460000</v>
      </c>
      <c r="L15" s="22">
        <v>613055893</v>
      </c>
      <c r="M15" s="23">
        <f t="shared" si="7"/>
        <v>1678515893</v>
      </c>
      <c r="N15" s="24">
        <f t="shared" si="8"/>
        <v>9.9682631625430968E-3</v>
      </c>
      <c r="O15" s="25">
        <f t="shared" si="9"/>
        <v>3.0032273435792577E-2</v>
      </c>
      <c r="P15" s="26">
        <f t="shared" si="10"/>
        <v>1.7296379498244741E-2</v>
      </c>
      <c r="Q15" s="18">
        <f t="shared" si="11"/>
        <v>18428600.500199843</v>
      </c>
      <c r="R15" s="19">
        <f t="shared" si="11"/>
        <v>10603647.378963321</v>
      </c>
      <c r="S15" s="20">
        <f t="shared" si="12"/>
        <v>29032247.879163165</v>
      </c>
      <c r="U15" s="17">
        <v>44652</v>
      </c>
      <c r="V15" s="32">
        <f t="shared" si="13"/>
        <v>10603647.378963321</v>
      </c>
      <c r="W15" s="33">
        <v>13732452.0032</v>
      </c>
      <c r="X15" s="33">
        <f t="shared" si="14"/>
        <v>-3128804.6242366787</v>
      </c>
      <c r="Y15" s="34">
        <v>0.99804289105178279</v>
      </c>
      <c r="Z15" s="33">
        <f t="shared" si="15"/>
        <v>-3122681.2127093617</v>
      </c>
      <c r="AA15" s="35">
        <f t="shared" si="16"/>
        <v>-2966547.1520738937</v>
      </c>
      <c r="AB15" s="32">
        <v>6754665.7591960654</v>
      </c>
      <c r="AC15" s="20">
        <f t="shared" si="0"/>
        <v>-9721212.9112699591</v>
      </c>
    </row>
    <row r="16" spans="1:29" x14ac:dyDescent="0.25">
      <c r="A16" s="17">
        <v>44682</v>
      </c>
      <c r="B16" s="18">
        <f t="shared" si="1"/>
        <v>9532622.6100000069</v>
      </c>
      <c r="C16" s="19">
        <v>26510445.461759992</v>
      </c>
      <c r="D16" s="20">
        <f t="shared" si="2"/>
        <v>36043068.071759999</v>
      </c>
      <c r="E16" s="18">
        <f>'Metro PPAs'!J17+'Metro PPAs'!J101</f>
        <v>1882029.1800000009</v>
      </c>
      <c r="F16" s="19">
        <f>'West PPAs'!K19+'West PPAs'!K40</f>
        <v>1290430.8799999992</v>
      </c>
      <c r="G16" s="20">
        <f t="shared" si="3"/>
        <v>3172460.06</v>
      </c>
      <c r="H16" s="73">
        <f t="shared" si="4"/>
        <v>7650593.4300000062</v>
      </c>
      <c r="I16" s="73">
        <f t="shared" si="5"/>
        <v>25220014.581759993</v>
      </c>
      <c r="J16" s="73">
        <f t="shared" si="6"/>
        <v>32870608.01176</v>
      </c>
      <c r="K16" s="21">
        <v>1258845000</v>
      </c>
      <c r="L16" s="22">
        <v>703567988</v>
      </c>
      <c r="M16" s="23">
        <f t="shared" si="7"/>
        <v>1962412988</v>
      </c>
      <c r="N16" s="24">
        <f t="shared" si="8"/>
        <v>6.077470562301162E-3</v>
      </c>
      <c r="O16" s="25">
        <f t="shared" si="9"/>
        <v>3.5845881296350274E-2</v>
      </c>
      <c r="P16" s="26">
        <f t="shared" si="10"/>
        <v>1.6750097055391076E-2</v>
      </c>
      <c r="Q16" s="18">
        <f t="shared" si="11"/>
        <v>21085775.927693777</v>
      </c>
      <c r="R16" s="19">
        <f t="shared" si="11"/>
        <v>11784832.084066223</v>
      </c>
      <c r="S16" s="20">
        <f t="shared" si="12"/>
        <v>32870608.01176</v>
      </c>
      <c r="U16" s="17">
        <v>44682</v>
      </c>
      <c r="V16" s="32">
        <f t="shared" si="13"/>
        <v>11784832.084066223</v>
      </c>
      <c r="W16" s="33">
        <v>15759922.9312</v>
      </c>
      <c r="X16" s="33">
        <f t="shared" si="14"/>
        <v>-3975090.8471337762</v>
      </c>
      <c r="Y16" s="34">
        <v>0.9986882508536129</v>
      </c>
      <c r="Z16" s="33">
        <f t="shared" si="15"/>
        <v>-3969876.5251082373</v>
      </c>
      <c r="AA16" s="35">
        <f t="shared" si="16"/>
        <v>-3771382.6988528254</v>
      </c>
      <c r="AB16" s="32">
        <v>10199599.514716947</v>
      </c>
      <c r="AC16" s="20">
        <f t="shared" si="0"/>
        <v>-13970982.213569773</v>
      </c>
    </row>
    <row r="17" spans="1:29" x14ac:dyDescent="0.25">
      <c r="A17" s="17">
        <v>44713</v>
      </c>
      <c r="B17" s="18">
        <f t="shared" si="1"/>
        <v>36046744.069999963</v>
      </c>
      <c r="C17" s="19">
        <v>34008449.056720003</v>
      </c>
      <c r="D17" s="20">
        <f t="shared" si="2"/>
        <v>70055193.126719967</v>
      </c>
      <c r="E17" s="18">
        <f>'Metro PPAs'!J18+'Metro PPAs'!J102</f>
        <v>156017.01999999897</v>
      </c>
      <c r="F17" s="19">
        <f>'West PPAs'!K20+'West PPAs'!K41</f>
        <v>-317179.07999999973</v>
      </c>
      <c r="G17" s="20">
        <f t="shared" si="3"/>
        <v>-161162.06000000075</v>
      </c>
      <c r="H17" s="73">
        <f t="shared" si="4"/>
        <v>35890727.049999967</v>
      </c>
      <c r="I17" s="73">
        <f t="shared" si="5"/>
        <v>34325628.136720002</v>
      </c>
      <c r="J17" s="73">
        <f t="shared" si="6"/>
        <v>70216355.186719969</v>
      </c>
      <c r="K17" s="21">
        <v>1525922000</v>
      </c>
      <c r="L17" s="22">
        <v>840973776</v>
      </c>
      <c r="M17" s="23">
        <f t="shared" si="7"/>
        <v>2366895776</v>
      </c>
      <c r="N17" s="24">
        <f t="shared" si="8"/>
        <v>2.3520682610251354E-2</v>
      </c>
      <c r="O17" s="25">
        <f t="shared" si="9"/>
        <v>4.081652617039512E-2</v>
      </c>
      <c r="P17" s="26">
        <f t="shared" si="10"/>
        <v>2.9666010602876654E-2</v>
      </c>
      <c r="Q17" s="18">
        <f t="shared" si="11"/>
        <v>45268018.231162749</v>
      </c>
      <c r="R17" s="19">
        <f t="shared" si="11"/>
        <v>24948336.955557216</v>
      </c>
      <c r="S17" s="20">
        <f t="shared" si="12"/>
        <v>70216355.186719969</v>
      </c>
      <c r="U17" s="17">
        <v>44713</v>
      </c>
      <c r="V17" s="32">
        <f t="shared" si="13"/>
        <v>24948336.955557216</v>
      </c>
      <c r="W17" s="33">
        <v>18837812.582400002</v>
      </c>
      <c r="X17" s="33">
        <f t="shared" si="14"/>
        <v>6110524.3731572144</v>
      </c>
      <c r="Y17" s="34">
        <v>0.99825430506000601</v>
      </c>
      <c r="Z17" s="33">
        <f t="shared" si="15"/>
        <v>6099857.261678284</v>
      </c>
      <c r="AA17" s="35">
        <f t="shared" si="16"/>
        <v>5794864.3985943692</v>
      </c>
      <c r="AB17" s="32">
        <v>14386945.512440778</v>
      </c>
      <c r="AC17" s="20">
        <f t="shared" si="0"/>
        <v>-8592081.1138464101</v>
      </c>
    </row>
    <row r="18" spans="1:29" x14ac:dyDescent="0.25">
      <c r="A18" s="17">
        <v>44743</v>
      </c>
      <c r="B18" s="18">
        <f t="shared" si="1"/>
        <v>34323054.066127248</v>
      </c>
      <c r="C18" s="19">
        <v>53583742.985120006</v>
      </c>
      <c r="D18" s="20">
        <f t="shared" si="2"/>
        <v>87906797.051247254</v>
      </c>
      <c r="E18" s="18">
        <f>'Metro PPAs'!J19+'Metro PPAs'!J103</f>
        <v>-800697.89</v>
      </c>
      <c r="F18" s="19">
        <f>'West PPAs'!K21+'West PPAs'!K42</f>
        <v>-781764.99000000011</v>
      </c>
      <c r="G18" s="20">
        <f t="shared" si="3"/>
        <v>-1582462.8800000001</v>
      </c>
      <c r="H18" s="73">
        <f t="shared" si="4"/>
        <v>35123751.956127249</v>
      </c>
      <c r="I18" s="73">
        <f t="shared" si="5"/>
        <v>54365507.975120008</v>
      </c>
      <c r="J18" s="73">
        <f t="shared" si="6"/>
        <v>89489259.931247264</v>
      </c>
      <c r="K18" s="21">
        <v>1703062998</v>
      </c>
      <c r="L18" s="22">
        <v>934068812</v>
      </c>
      <c r="M18" s="23">
        <f t="shared" si="7"/>
        <v>2637131810</v>
      </c>
      <c r="N18" s="24">
        <f t="shared" si="8"/>
        <v>2.0623871223422147E-2</v>
      </c>
      <c r="O18" s="25">
        <f t="shared" si="9"/>
        <v>5.8202893916042671E-2</v>
      </c>
      <c r="P18" s="26">
        <f t="shared" si="10"/>
        <v>3.3934314391075984E-2</v>
      </c>
      <c r="Q18" s="18">
        <f t="shared" si="11"/>
        <v>57792275.20194041</v>
      </c>
      <c r="R18" s="19">
        <f t="shared" si="11"/>
        <v>31696984.729306847</v>
      </c>
      <c r="S18" s="20">
        <f t="shared" si="12"/>
        <v>89489259.931247264</v>
      </c>
      <c r="U18" s="17">
        <v>44743</v>
      </c>
      <c r="V18" s="32">
        <f t="shared" si="13"/>
        <v>31696984.729306847</v>
      </c>
      <c r="W18" s="33">
        <v>20923141.388799999</v>
      </c>
      <c r="X18" s="33">
        <f t="shared" si="14"/>
        <v>10773843.340506848</v>
      </c>
      <c r="Y18" s="34">
        <v>0.99787771693642879</v>
      </c>
      <c r="Z18" s="33">
        <f t="shared" si="15"/>
        <v>10750978.195255721</v>
      </c>
      <c r="AA18" s="35">
        <f t="shared" si="16"/>
        <v>10213429.285492934</v>
      </c>
      <c r="AB18" s="32">
        <v>30961722.226970784</v>
      </c>
      <c r="AC18" s="20">
        <f t="shared" si="0"/>
        <v>-20748292.94147785</v>
      </c>
    </row>
    <row r="19" spans="1:29" x14ac:dyDescent="0.25">
      <c r="A19" s="17">
        <v>44774</v>
      </c>
      <c r="B19" s="18">
        <f t="shared" si="1"/>
        <v>12253723.270000093</v>
      </c>
      <c r="C19" s="19">
        <v>45782136.20544</v>
      </c>
      <c r="D19" s="20">
        <f t="shared" si="2"/>
        <v>58035859.475440092</v>
      </c>
      <c r="E19" s="18">
        <f>'Metro PPAs'!J20+'Metro PPAs'!J104</f>
        <v>-1086908.6400000001</v>
      </c>
      <c r="F19" s="19">
        <f>'West PPAs'!K22+'West PPAs'!K43</f>
        <v>-1025811.7300000001</v>
      </c>
      <c r="G19" s="20">
        <f t="shared" si="3"/>
        <v>-2112720.37</v>
      </c>
      <c r="H19" s="73">
        <f t="shared" si="4"/>
        <v>13340631.910000093</v>
      </c>
      <c r="I19" s="73">
        <f t="shared" si="5"/>
        <v>46807947.935439996</v>
      </c>
      <c r="J19" s="73">
        <f t="shared" si="6"/>
        <v>60148579.84544009</v>
      </c>
      <c r="K19" s="21">
        <v>1641538001</v>
      </c>
      <c r="L19" s="22">
        <v>911682520</v>
      </c>
      <c r="M19" s="23">
        <f t="shared" si="7"/>
        <v>2553220521</v>
      </c>
      <c r="N19" s="24">
        <f t="shared" si="8"/>
        <v>8.1269101914626298E-3</v>
      </c>
      <c r="O19" s="25">
        <f t="shared" si="9"/>
        <v>5.1342377317314364E-2</v>
      </c>
      <c r="P19" s="26">
        <f t="shared" si="10"/>
        <v>2.3557925902100367E-2</v>
      </c>
      <c r="Q19" s="18">
        <f t="shared" si="11"/>
        <v>38671230.59303996</v>
      </c>
      <c r="R19" s="19">
        <f t="shared" si="11"/>
        <v>21477349.252400137</v>
      </c>
      <c r="S19" s="20">
        <f t="shared" si="12"/>
        <v>60148579.845440097</v>
      </c>
      <c r="U19" s="17">
        <v>44774</v>
      </c>
      <c r="V19" s="32">
        <f t="shared" si="13"/>
        <v>21477349.252400137</v>
      </c>
      <c r="W19" s="33">
        <v>20421688.447999999</v>
      </c>
      <c r="X19" s="33">
        <f t="shared" si="14"/>
        <v>1055660.8044001386</v>
      </c>
      <c r="Y19" s="34">
        <v>0.997519480129756</v>
      </c>
      <c r="Z19" s="33">
        <f t="shared" si="15"/>
        <v>1053042.2167985863</v>
      </c>
      <c r="AA19" s="35">
        <f t="shared" si="16"/>
        <v>1000390.105958657</v>
      </c>
      <c r="AB19" s="32">
        <v>24032663.629716419</v>
      </c>
      <c r="AC19" s="20">
        <f t="shared" si="0"/>
        <v>-23032273.523757763</v>
      </c>
    </row>
    <row r="20" spans="1:29" x14ac:dyDescent="0.25">
      <c r="A20" s="17">
        <v>44805</v>
      </c>
      <c r="B20" s="18">
        <f t="shared" si="1"/>
        <v>16918198.732196979</v>
      </c>
      <c r="C20" s="19">
        <v>29642245.47000001</v>
      </c>
      <c r="D20" s="20">
        <f t="shared" si="2"/>
        <v>46560444.202196985</v>
      </c>
      <c r="E20" s="18">
        <f>'Metro PPAs'!J21+'Metro PPAs'!J105</f>
        <v>1038112.56</v>
      </c>
      <c r="F20" s="19">
        <f>'West PPAs'!K23+'West PPAs'!K44</f>
        <v>779594.62000000011</v>
      </c>
      <c r="G20" s="20">
        <f t="shared" si="3"/>
        <v>1817707.1800000002</v>
      </c>
      <c r="H20" s="73">
        <f t="shared" si="4"/>
        <v>15880086.172196979</v>
      </c>
      <c r="I20" s="73">
        <f t="shared" si="5"/>
        <v>28862650.850000009</v>
      </c>
      <c r="J20" s="73">
        <f t="shared" si="6"/>
        <v>44742737.022196986</v>
      </c>
      <c r="K20" s="21">
        <v>1311382000</v>
      </c>
      <c r="L20" s="22">
        <v>731251010</v>
      </c>
      <c r="M20" s="23">
        <f t="shared" si="7"/>
        <v>2042633010</v>
      </c>
      <c r="N20" s="24">
        <f t="shared" si="8"/>
        <v>1.2109428200323765E-2</v>
      </c>
      <c r="O20" s="25">
        <f t="shared" si="9"/>
        <v>3.9470237244527029E-2</v>
      </c>
      <c r="P20" s="26">
        <f t="shared" si="10"/>
        <v>2.1904442356092634E-2</v>
      </c>
      <c r="Q20" s="18">
        <f t="shared" si="11"/>
        <v>28725091.425817471</v>
      </c>
      <c r="R20" s="19">
        <f t="shared" si="11"/>
        <v>16017645.596379519</v>
      </c>
      <c r="S20" s="20">
        <f t="shared" si="12"/>
        <v>44742737.022196993</v>
      </c>
      <c r="U20" s="17">
        <v>44805</v>
      </c>
      <c r="V20" s="32">
        <f t="shared" si="13"/>
        <v>16017645.596379519</v>
      </c>
      <c r="W20" s="33">
        <v>16380022.624</v>
      </c>
      <c r="X20" s="33">
        <f t="shared" si="14"/>
        <v>-362377.02762048133</v>
      </c>
      <c r="Y20" s="34">
        <v>0.99763180535911811</v>
      </c>
      <c r="Z20" s="33">
        <f t="shared" si="15"/>
        <v>-361518.84828569181</v>
      </c>
      <c r="AA20" s="35">
        <f t="shared" si="16"/>
        <v>-343442.90587140719</v>
      </c>
      <c r="AB20" s="32">
        <v>12569274.554883434</v>
      </c>
      <c r="AC20" s="20">
        <f t="shared" si="0"/>
        <v>-12912717.460754842</v>
      </c>
    </row>
    <row r="21" spans="1:29" x14ac:dyDescent="0.25">
      <c r="A21" s="17">
        <v>44835</v>
      </c>
      <c r="B21" s="18">
        <f t="shared" si="1"/>
        <v>29922151.352452718</v>
      </c>
      <c r="C21" s="19">
        <v>25363745.983599998</v>
      </c>
      <c r="D21" s="20">
        <f t="shared" si="2"/>
        <v>55285897.336052716</v>
      </c>
      <c r="E21" s="18">
        <f>'Metro PPAs'!J22+'Metro PPAs'!J106</f>
        <v>347099.22999999986</v>
      </c>
      <c r="F21" s="19">
        <f>'West PPAs'!K24+'West PPAs'!K45</f>
        <v>375442.69999999995</v>
      </c>
      <c r="G21" s="20">
        <f t="shared" si="3"/>
        <v>722541.92999999982</v>
      </c>
      <c r="H21" s="73">
        <f t="shared" si="4"/>
        <v>29575052.122452717</v>
      </c>
      <c r="I21" s="73">
        <f t="shared" si="5"/>
        <v>24988303.283599999</v>
      </c>
      <c r="J21" s="73">
        <f t="shared" si="6"/>
        <v>54563355.406052716</v>
      </c>
      <c r="K21" s="21">
        <v>1101476000</v>
      </c>
      <c r="L21" s="22">
        <v>626781261</v>
      </c>
      <c r="M21" s="23">
        <f t="shared" si="7"/>
        <v>1728257261</v>
      </c>
      <c r="N21" s="24">
        <f t="shared" si="8"/>
        <v>2.6850382688731047E-2</v>
      </c>
      <c r="O21" s="25">
        <f t="shared" si="9"/>
        <v>3.9867661716197988E-2</v>
      </c>
      <c r="P21" s="26">
        <f t="shared" si="10"/>
        <v>3.1571315589023707E-2</v>
      </c>
      <c r="Q21" s="18">
        <f t="shared" si="11"/>
        <v>34775046.409735478</v>
      </c>
      <c r="R21" s="19">
        <f t="shared" si="11"/>
        <v>19788308.996317238</v>
      </c>
      <c r="S21" s="20">
        <f t="shared" si="12"/>
        <v>54563355.406052716</v>
      </c>
      <c r="U21" s="17">
        <v>44835</v>
      </c>
      <c r="V21" s="32">
        <f t="shared" si="13"/>
        <v>19788308.996317238</v>
      </c>
      <c r="W21" s="33">
        <v>14039900.246400001</v>
      </c>
      <c r="X21" s="33">
        <f t="shared" si="14"/>
        <v>5748408.7499172371</v>
      </c>
      <c r="Y21" s="34">
        <v>0.99838825230192041</v>
      </c>
      <c r="Z21" s="33">
        <f t="shared" si="15"/>
        <v>5739143.7653469378</v>
      </c>
      <c r="AA21" s="35">
        <f t="shared" si="16"/>
        <v>5452186.5770795904</v>
      </c>
      <c r="AB21" s="32">
        <v>10740314.827154674</v>
      </c>
      <c r="AC21" s="20">
        <f t="shared" si="0"/>
        <v>-5288128.2500750832</v>
      </c>
    </row>
    <row r="22" spans="1:29" ht="15.75" thickBot="1" x14ac:dyDescent="0.3">
      <c r="A22" s="17">
        <v>44866</v>
      </c>
      <c r="B22" s="18">
        <f t="shared" si="1"/>
        <v>33169182.896880008</v>
      </c>
      <c r="C22" s="19">
        <v>24945106.669279993</v>
      </c>
      <c r="D22" s="20">
        <f t="shared" si="2"/>
        <v>58114289.566160001</v>
      </c>
      <c r="E22" s="18">
        <f>'Metro PPAs'!J23+'Metro PPAs'!J107</f>
        <v>2239498.91</v>
      </c>
      <c r="F22" s="19">
        <f>'West PPAs'!K25+'West PPAs'!K46</f>
        <v>1864322.03</v>
      </c>
      <c r="G22" s="20">
        <f t="shared" si="3"/>
        <v>4103820.9400000004</v>
      </c>
      <c r="H22" s="73">
        <f t="shared" si="4"/>
        <v>30929683.986880008</v>
      </c>
      <c r="I22" s="73">
        <f t="shared" si="5"/>
        <v>23080784.639279991</v>
      </c>
      <c r="J22" s="73">
        <f t="shared" si="6"/>
        <v>54010468.626159996</v>
      </c>
      <c r="K22" s="21">
        <v>1185775999</v>
      </c>
      <c r="L22" s="22">
        <v>699394340</v>
      </c>
      <c r="M22" s="23">
        <f t="shared" si="7"/>
        <v>1885170339</v>
      </c>
      <c r="N22" s="24">
        <f t="shared" si="8"/>
        <v>2.6083918052788996E-2</v>
      </c>
      <c r="O22" s="25">
        <f t="shared" si="9"/>
        <v>3.3001102981874274E-2</v>
      </c>
      <c r="P22" s="26">
        <f t="shared" si="10"/>
        <v>2.8650179513650832E-2</v>
      </c>
      <c r="Q22" s="18">
        <f t="shared" si="11"/>
        <v>33972695.23432865</v>
      </c>
      <c r="R22" s="19">
        <f t="shared" si="11"/>
        <v>20037773.391831346</v>
      </c>
      <c r="S22" s="20">
        <f t="shared" si="12"/>
        <v>54010468.626159996</v>
      </c>
      <c r="U22" s="17">
        <v>44866</v>
      </c>
      <c r="V22" s="36">
        <f t="shared" si="13"/>
        <v>20037773.391831346</v>
      </c>
      <c r="W22" s="37">
        <v>15666433.216</v>
      </c>
      <c r="X22" s="37">
        <f t="shared" si="14"/>
        <v>4371340.1758313458</v>
      </c>
      <c r="Y22" s="38">
        <v>0.99855577480106072</v>
      </c>
      <c r="Z22" s="37">
        <f t="shared" si="15"/>
        <v>4365026.9761962742</v>
      </c>
      <c r="AA22" s="39">
        <f t="shared" si="16"/>
        <v>4146775.6273864601</v>
      </c>
      <c r="AB22" s="36">
        <v>8802009.3113027345</v>
      </c>
      <c r="AC22" s="40">
        <f t="shared" si="0"/>
        <v>-4655233.6839162745</v>
      </c>
    </row>
    <row r="23" spans="1:29" ht="16.5" thickTop="1" thickBot="1" x14ac:dyDescent="0.3">
      <c r="B23" s="41"/>
      <c r="C23" s="42"/>
      <c r="D23" s="43"/>
      <c r="E23" s="41"/>
      <c r="F23" s="42"/>
      <c r="G23" s="43"/>
      <c r="H23" s="74"/>
      <c r="I23" s="74"/>
      <c r="J23" s="74"/>
      <c r="K23" s="21"/>
      <c r="L23" s="22"/>
      <c r="M23" s="23"/>
      <c r="N23" s="44"/>
      <c r="O23" s="45"/>
      <c r="P23" s="46"/>
      <c r="Q23" s="41"/>
      <c r="R23" s="42"/>
      <c r="S23" s="43"/>
      <c r="V23" s="47">
        <f>SUM(V5:V22)</f>
        <v>322868262.8984583</v>
      </c>
      <c r="W23" s="48">
        <f t="shared" ref="W23:X23" si="17">SUM(W5:W22)</f>
        <v>306660120.81599998</v>
      </c>
      <c r="X23" s="48">
        <f t="shared" si="17"/>
        <v>16208142.082458308</v>
      </c>
      <c r="Y23" s="49"/>
      <c r="Z23" s="48">
        <f>SUM(Z5:Z22)</f>
        <v>16184787.303048156</v>
      </c>
      <c r="AA23" s="50">
        <f>SUM(AA5:AA22)</f>
        <v>15375547.937895745</v>
      </c>
      <c r="AB23" s="47">
        <f>SUM(AB4:AB22)</f>
        <v>193042150.22137612</v>
      </c>
      <c r="AC23" s="51">
        <f>SUM(AC5:AC22)</f>
        <v>-177666601.33348039</v>
      </c>
    </row>
    <row r="24" spans="1:29" ht="16.5" thickTop="1" thickBot="1" x14ac:dyDescent="0.3">
      <c r="A24" t="s">
        <v>8</v>
      </c>
      <c r="B24" s="52">
        <f>SUM(B5:B22)</f>
        <v>420844782.3868202</v>
      </c>
      <c r="C24" s="53">
        <f t="shared" ref="C24:D24" si="18">SUM(C5:C22)</f>
        <v>510291308.25776005</v>
      </c>
      <c r="D24" s="54">
        <f t="shared" si="18"/>
        <v>931136090.64458013</v>
      </c>
      <c r="E24" s="52">
        <f>SUM(E5:E22)</f>
        <v>22884683.059999999</v>
      </c>
      <c r="F24" s="53">
        <f t="shared" ref="F24:J24" si="19">SUM(F5:F22)</f>
        <v>14754267.630000001</v>
      </c>
      <c r="G24" s="54">
        <f t="shared" si="19"/>
        <v>37638950.689999998</v>
      </c>
      <c r="H24" s="52">
        <f>SUM(H5:H22)</f>
        <v>397960099.32682019</v>
      </c>
      <c r="I24" s="53">
        <f t="shared" si="19"/>
        <v>495537040.62776005</v>
      </c>
      <c r="J24" s="54">
        <f t="shared" si="19"/>
        <v>893497139.95458031</v>
      </c>
      <c r="K24" s="55">
        <f>SUM(K5:K22)</f>
        <v>24187050998</v>
      </c>
      <c r="L24" s="56">
        <f t="shared" ref="L24:M24" si="20">SUM(L5:L22)</f>
        <v>13690183965</v>
      </c>
      <c r="M24" s="57">
        <f t="shared" si="20"/>
        <v>37877234963</v>
      </c>
      <c r="N24" s="68"/>
      <c r="O24" s="69"/>
      <c r="P24" s="70"/>
      <c r="Q24" s="52">
        <f>SUM(Q5:Q22)</f>
        <v>570628877.05612195</v>
      </c>
      <c r="R24" s="53">
        <f t="shared" ref="R24:S24" si="21">SUM(R5:R22)</f>
        <v>322868262.8984583</v>
      </c>
      <c r="S24" s="54">
        <f t="shared" si="21"/>
        <v>893497139.95458031</v>
      </c>
    </row>
    <row r="25" spans="1:29" ht="15.75" thickTop="1" x14ac:dyDescent="0.25">
      <c r="W25" s="58"/>
    </row>
    <row r="26" spans="1:29" x14ac:dyDescent="0.25">
      <c r="P26" t="s">
        <v>15</v>
      </c>
      <c r="Q26" s="58">
        <f>B24-Q24</f>
        <v>-149784094.66930175</v>
      </c>
      <c r="R26" s="58">
        <f>C24-R24</f>
        <v>187423045.35930175</v>
      </c>
      <c r="S26" s="58">
        <f>D24-S24</f>
        <v>37638950.689999819</v>
      </c>
    </row>
    <row r="27" spans="1:29" x14ac:dyDescent="0.25">
      <c r="B27" t="s">
        <v>16</v>
      </c>
      <c r="C27" s="59"/>
      <c r="D27" s="58"/>
      <c r="E27" s="58"/>
      <c r="F27" s="58"/>
      <c r="G27" s="58"/>
      <c r="H27" s="58"/>
      <c r="I27" s="58"/>
      <c r="J27" s="58"/>
      <c r="Q27" s="71"/>
      <c r="R27" s="71"/>
      <c r="S27" s="71"/>
    </row>
    <row r="28" spans="1:29" x14ac:dyDescent="0.25">
      <c r="B28" s="59"/>
      <c r="C28" s="59"/>
      <c r="D28" s="58"/>
      <c r="E28" s="58"/>
      <c r="F28" s="58"/>
      <c r="G28" s="58"/>
      <c r="H28" s="58"/>
      <c r="I28" s="58"/>
      <c r="J28" s="58"/>
      <c r="Q28" s="71"/>
      <c r="R28" s="71"/>
      <c r="S28" s="71"/>
    </row>
    <row r="29" spans="1:29" x14ac:dyDescent="0.25">
      <c r="Q29" s="58"/>
      <c r="R29" s="58"/>
      <c r="S29" s="58"/>
    </row>
    <row r="30" spans="1:29" x14ac:dyDescent="0.25">
      <c r="B30" s="58"/>
      <c r="C30" s="58"/>
      <c r="D30" s="58"/>
      <c r="E30" s="58"/>
      <c r="F30" s="58"/>
      <c r="G30" s="58"/>
      <c r="H30" s="58"/>
      <c r="I30" s="58"/>
      <c r="J30" s="58"/>
      <c r="Q30" s="58"/>
      <c r="R30" s="58"/>
      <c r="S30" s="58"/>
    </row>
    <row r="31" spans="1:29" x14ac:dyDescent="0.25">
      <c r="B31" s="58"/>
      <c r="C31" s="58"/>
      <c r="D31" s="58"/>
      <c r="E31" s="58"/>
      <c r="F31" s="58"/>
      <c r="G31" s="58"/>
      <c r="H31" s="58"/>
      <c r="I31" s="58"/>
      <c r="J31" s="58"/>
      <c r="Q31" s="58"/>
      <c r="R31" s="58"/>
      <c r="S31" s="58"/>
    </row>
    <row r="32" spans="1:29" x14ac:dyDescent="0.25">
      <c r="R32" s="58"/>
    </row>
    <row r="33" spans="1:19" x14ac:dyDescent="0.25">
      <c r="D33" s="58"/>
      <c r="E33" s="58"/>
      <c r="F33" s="58"/>
      <c r="G33" s="58"/>
      <c r="H33" s="58"/>
      <c r="I33" s="58"/>
      <c r="J33" s="58"/>
      <c r="Q33" s="58">
        <f>B24-Q30</f>
        <v>420844782.3868202</v>
      </c>
      <c r="R33" s="58">
        <f>C24-R30</f>
        <v>510291308.25776005</v>
      </c>
      <c r="S33" s="58">
        <f>R33+Q33</f>
        <v>931136090.64458025</v>
      </c>
    </row>
    <row r="34" spans="1:19" x14ac:dyDescent="0.25">
      <c r="D34" s="58"/>
      <c r="E34" s="58"/>
      <c r="F34" s="58"/>
      <c r="G34" s="58"/>
      <c r="H34" s="58"/>
      <c r="I34" s="58"/>
      <c r="J34" s="58"/>
      <c r="Q34" s="58">
        <f>B24-Q31</f>
        <v>420844782.3868202</v>
      </c>
      <c r="R34" s="58">
        <f>C24-R31</f>
        <v>510291308.25776005</v>
      </c>
      <c r="S34" s="58">
        <f>R34+Q34</f>
        <v>931136090.64458025</v>
      </c>
    </row>
    <row r="35" spans="1:19" x14ac:dyDescent="0.25">
      <c r="B35" t="s">
        <v>0</v>
      </c>
      <c r="C35" t="s">
        <v>17</v>
      </c>
    </row>
    <row r="36" spans="1:19" x14ac:dyDescent="0.25">
      <c r="A36" s="17">
        <v>44348</v>
      </c>
      <c r="B36" s="59">
        <v>27095860.429999985</v>
      </c>
      <c r="C36" s="59">
        <v>-356460.74</v>
      </c>
    </row>
    <row r="37" spans="1:19" x14ac:dyDescent="0.25">
      <c r="A37" s="17">
        <v>44378</v>
      </c>
      <c r="B37" s="59">
        <v>23954288.509999979</v>
      </c>
      <c r="C37" s="59">
        <v>-338175.87</v>
      </c>
    </row>
    <row r="38" spans="1:19" x14ac:dyDescent="0.25">
      <c r="A38" s="17">
        <v>44409</v>
      </c>
      <c r="B38" s="59">
        <v>22239997.320000011</v>
      </c>
      <c r="C38" s="59">
        <v>-353179.62</v>
      </c>
    </row>
    <row r="39" spans="1:19" x14ac:dyDescent="0.25">
      <c r="A39" s="17">
        <v>44440</v>
      </c>
      <c r="B39" s="59">
        <v>19577595.380000003</v>
      </c>
      <c r="C39" s="59">
        <v>-347109.05</v>
      </c>
    </row>
    <row r="40" spans="1:19" x14ac:dyDescent="0.25">
      <c r="A40" s="17">
        <v>44470</v>
      </c>
      <c r="B40" s="59">
        <v>10978885.520000003</v>
      </c>
      <c r="C40" s="59">
        <v>-325938.11</v>
      </c>
    </row>
    <row r="41" spans="1:19" x14ac:dyDescent="0.25">
      <c r="A41" s="17">
        <v>44501</v>
      </c>
      <c r="B41" s="59">
        <v>25245224.27</v>
      </c>
      <c r="C41" s="59">
        <v>-334461.59000000003</v>
      </c>
    </row>
    <row r="42" spans="1:19" x14ac:dyDescent="0.25">
      <c r="A42" s="17">
        <v>44531</v>
      </c>
      <c r="B42" s="59">
        <v>28300829.160000004</v>
      </c>
      <c r="C42" s="59">
        <v>-339853.27</v>
      </c>
    </row>
    <row r="43" spans="1:19" x14ac:dyDescent="0.25">
      <c r="A43" s="17">
        <v>44562</v>
      </c>
      <c r="B43" s="59">
        <v>27760225.219999995</v>
      </c>
      <c r="C43" s="59">
        <v>-339793.07</v>
      </c>
    </row>
    <row r="44" spans="1:19" x14ac:dyDescent="0.25">
      <c r="A44" s="17">
        <v>44593</v>
      </c>
      <c r="B44" s="59">
        <v>19854508.079999994</v>
      </c>
      <c r="C44" s="59">
        <v>-336514.94</v>
      </c>
    </row>
    <row r="45" spans="1:19" x14ac:dyDescent="0.25">
      <c r="A45" s="17">
        <v>44621</v>
      </c>
      <c r="B45" s="59">
        <v>26224182.320000008</v>
      </c>
      <c r="C45" s="59">
        <v>-331514.03000000003</v>
      </c>
    </row>
    <row r="46" spans="1:19" x14ac:dyDescent="0.25">
      <c r="A46" s="17">
        <v>44652</v>
      </c>
      <c r="B46" s="59">
        <v>13710047.299163166</v>
      </c>
      <c r="C46" s="59">
        <v>-334461.59000000003</v>
      </c>
    </row>
    <row r="47" spans="1:19" x14ac:dyDescent="0.25">
      <c r="A47" s="17">
        <v>44682</v>
      </c>
      <c r="B47" s="59">
        <v>9186015.2600000072</v>
      </c>
      <c r="C47" s="59">
        <v>-346607.35</v>
      </c>
    </row>
    <row r="48" spans="1:19" x14ac:dyDescent="0.25">
      <c r="A48" s="17">
        <v>44713</v>
      </c>
      <c r="B48" s="59">
        <v>35697168.319999963</v>
      </c>
      <c r="C48" s="59">
        <v>-349575.75</v>
      </c>
    </row>
    <row r="49" spans="1:3" x14ac:dyDescent="0.25">
      <c r="A49" s="17">
        <v>44743</v>
      </c>
      <c r="B49" s="59">
        <v>33970523.434006706</v>
      </c>
      <c r="C49" s="59">
        <v>-352530.63212054392</v>
      </c>
    </row>
    <row r="50" spans="1:3" x14ac:dyDescent="0.25">
      <c r="A50" s="17">
        <v>44774</v>
      </c>
      <c r="B50" s="59">
        <v>11906802.528589604</v>
      </c>
      <c r="C50" s="59">
        <v>-346920.74141048826</v>
      </c>
    </row>
    <row r="51" spans="1:3" x14ac:dyDescent="0.25">
      <c r="A51" s="17">
        <v>44805</v>
      </c>
      <c r="B51" s="59">
        <v>16583153.028389784</v>
      </c>
      <c r="C51" s="59">
        <v>-335045.7038071953</v>
      </c>
    </row>
    <row r="52" spans="1:3" x14ac:dyDescent="0.25">
      <c r="A52" s="17">
        <v>44835</v>
      </c>
      <c r="B52" s="59">
        <v>29592290.331132222</v>
      </c>
      <c r="C52" s="59">
        <v>-329861.02132049523</v>
      </c>
    </row>
    <row r="53" spans="1:3" x14ac:dyDescent="0.25">
      <c r="A53" s="17">
        <v>44866</v>
      </c>
      <c r="B53" s="59">
        <v>32830110.48613416</v>
      </c>
      <c r="C53" s="59">
        <v>-339072.41074584663</v>
      </c>
    </row>
    <row r="54" spans="1:3" x14ac:dyDescent="0.25">
      <c r="B54" s="60"/>
      <c r="C54" s="60"/>
    </row>
    <row r="55" spans="1:3" x14ac:dyDescent="0.25">
      <c r="B55" s="61">
        <f>SUM(B36:B53)</f>
        <v>414707706.89741564</v>
      </c>
      <c r="C55" s="61">
        <f>SUM(C36:C53)</f>
        <v>-6137075.4894045703</v>
      </c>
    </row>
  </sheetData>
  <pageMargins left="0.7" right="0.7" top="0.75" bottom="0.75" header="0.3" footer="0.3"/>
  <pageSetup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3A2CE-8CA6-4120-8D64-04B73653C462}">
  <dimension ref="A1:K153"/>
  <sheetViews>
    <sheetView workbookViewId="0">
      <selection activeCell="I1" sqref="I1"/>
    </sheetView>
  </sheetViews>
  <sheetFormatPr defaultRowHeight="15" x14ac:dyDescent="0.25"/>
  <cols>
    <col min="1" max="1" width="15.5703125" bestFit="1" customWidth="1"/>
    <col min="2" max="2" width="10.85546875" bestFit="1" customWidth="1"/>
    <col min="3" max="3" width="6.28515625" bestFit="1" customWidth="1"/>
    <col min="4" max="4" width="9.42578125" bestFit="1" customWidth="1"/>
    <col min="5" max="5" width="16.5703125" bestFit="1" customWidth="1"/>
    <col min="6" max="6" width="16.85546875" bestFit="1" customWidth="1"/>
    <col min="7" max="7" width="16.28515625" bestFit="1" customWidth="1"/>
    <col min="8" max="8" width="16.85546875" bestFit="1" customWidth="1"/>
    <col min="9" max="9" width="9.5703125" customWidth="1"/>
    <col min="10" max="10" width="4.28515625" customWidth="1"/>
    <col min="11" max="11" width="17.140625" customWidth="1"/>
  </cols>
  <sheetData>
    <row r="1" spans="1:11" x14ac:dyDescent="0.25">
      <c r="A1" s="92" t="s">
        <v>102</v>
      </c>
      <c r="B1" s="92"/>
      <c r="C1" s="92"/>
      <c r="D1" s="95"/>
      <c r="E1" s="96"/>
      <c r="F1" s="96"/>
      <c r="G1" s="96"/>
      <c r="H1" s="96"/>
      <c r="I1" s="114" t="s">
        <v>105</v>
      </c>
      <c r="J1" s="97"/>
      <c r="K1" s="92"/>
    </row>
    <row r="2" spans="1:11" x14ac:dyDescent="0.25">
      <c r="A2" s="91" t="s">
        <v>97</v>
      </c>
      <c r="B2" s="92"/>
      <c r="C2" s="92"/>
      <c r="D2" s="95"/>
      <c r="E2" s="96"/>
      <c r="F2" s="96"/>
      <c r="G2" s="96"/>
      <c r="H2" s="77" t="s">
        <v>65</v>
      </c>
      <c r="I2" s="92"/>
      <c r="J2" s="97"/>
      <c r="K2" s="92"/>
    </row>
    <row r="3" spans="1:11" x14ac:dyDescent="0.25">
      <c r="A3" s="91"/>
      <c r="B3" s="92"/>
      <c r="C3" s="92"/>
      <c r="D3" s="95"/>
      <c r="E3" s="96"/>
      <c r="F3" s="96"/>
      <c r="G3" s="96"/>
      <c r="H3" s="78" t="s">
        <v>66</v>
      </c>
      <c r="I3" s="92"/>
      <c r="J3" s="98"/>
      <c r="K3" s="92"/>
    </row>
    <row r="4" spans="1:11" x14ac:dyDescent="0.25">
      <c r="A4" s="92" t="s">
        <v>85</v>
      </c>
      <c r="B4" s="92"/>
      <c r="C4" s="92"/>
      <c r="D4" s="95"/>
      <c r="E4" s="112" t="s">
        <v>67</v>
      </c>
      <c r="F4" s="112"/>
      <c r="G4" s="112"/>
      <c r="H4" s="78" t="s">
        <v>68</v>
      </c>
      <c r="I4" s="92"/>
      <c r="J4" s="98"/>
      <c r="K4" s="92"/>
    </row>
    <row r="5" spans="1:11" ht="15.75" thickBot="1" x14ac:dyDescent="0.3">
      <c r="A5" s="92"/>
      <c r="B5" s="92"/>
      <c r="C5" s="92"/>
      <c r="D5" s="99" t="s">
        <v>98</v>
      </c>
      <c r="E5" s="80" t="s">
        <v>69</v>
      </c>
      <c r="F5" s="80" t="s">
        <v>70</v>
      </c>
      <c r="G5" s="80" t="s">
        <v>71</v>
      </c>
      <c r="H5" s="83" t="s">
        <v>72</v>
      </c>
      <c r="I5" s="92"/>
      <c r="J5" s="100"/>
      <c r="K5" s="92"/>
    </row>
    <row r="6" spans="1:11" x14ac:dyDescent="0.25">
      <c r="A6" s="92"/>
      <c r="B6" s="92"/>
      <c r="C6" s="92"/>
      <c r="D6" s="95"/>
      <c r="E6" s="101"/>
      <c r="F6" s="101"/>
      <c r="G6" s="78"/>
      <c r="H6" s="101"/>
      <c r="I6" s="92"/>
      <c r="J6" s="97"/>
      <c r="K6" s="92"/>
    </row>
    <row r="7" spans="1:11" x14ac:dyDescent="0.25">
      <c r="A7" s="92"/>
      <c r="B7" s="92"/>
      <c r="C7" s="92"/>
      <c r="D7" s="95"/>
      <c r="E7" s="101"/>
      <c r="F7" s="101"/>
      <c r="G7" s="78"/>
      <c r="H7" s="96"/>
      <c r="I7" s="102"/>
      <c r="J7" s="97"/>
      <c r="K7" s="92"/>
    </row>
    <row r="8" spans="1:11" x14ac:dyDescent="0.25">
      <c r="A8" s="92" t="s">
        <v>99</v>
      </c>
      <c r="B8" s="92" t="s">
        <v>84</v>
      </c>
      <c r="C8" s="92">
        <v>2021</v>
      </c>
      <c r="D8" s="103">
        <v>28084</v>
      </c>
      <c r="E8" s="96">
        <f t="shared" ref="E8:E14" si="0">F8+G8</f>
        <v>780633.64</v>
      </c>
      <c r="F8" s="96">
        <v>776522.6</v>
      </c>
      <c r="G8" s="96">
        <v>4111.04</v>
      </c>
      <c r="H8" s="96">
        <v>-235647.36999999968</v>
      </c>
      <c r="I8" s="102"/>
      <c r="J8" s="97"/>
      <c r="K8" s="104">
        <f t="shared" ref="K8:K25" si="1">E8+H8</f>
        <v>544986.27000000037</v>
      </c>
    </row>
    <row r="9" spans="1:11" x14ac:dyDescent="0.25">
      <c r="A9" s="92"/>
      <c r="B9" s="92" t="s">
        <v>73</v>
      </c>
      <c r="C9" s="92">
        <v>2021</v>
      </c>
      <c r="D9" s="103">
        <v>26203</v>
      </c>
      <c r="E9" s="96">
        <f t="shared" si="0"/>
        <v>746229.61</v>
      </c>
      <c r="F9" s="96">
        <v>724512.95</v>
      </c>
      <c r="G9" s="96">
        <v>21716.66</v>
      </c>
      <c r="H9" s="96">
        <v>-506620.11999999941</v>
      </c>
      <c r="I9" s="102"/>
      <c r="J9" s="97"/>
      <c r="K9" s="104">
        <f t="shared" si="1"/>
        <v>239609.49000000057</v>
      </c>
    </row>
    <row r="10" spans="1:11" x14ac:dyDescent="0.25">
      <c r="A10" s="92"/>
      <c r="B10" s="92" t="s">
        <v>74</v>
      </c>
      <c r="C10" s="92">
        <v>2021</v>
      </c>
      <c r="D10" s="103">
        <v>31330</v>
      </c>
      <c r="E10" s="96">
        <f t="shared" si="0"/>
        <v>872281.15999999898</v>
      </c>
      <c r="F10" s="96">
        <v>866274.49999999895</v>
      </c>
      <c r="G10" s="96">
        <v>6006.66</v>
      </c>
      <c r="H10" s="96">
        <v>-390388.12</v>
      </c>
      <c r="I10" s="102"/>
      <c r="J10" s="97"/>
      <c r="K10" s="104">
        <f t="shared" si="1"/>
        <v>481893.03999999899</v>
      </c>
    </row>
    <row r="11" spans="1:11" x14ac:dyDescent="0.25">
      <c r="A11" s="92"/>
      <c r="B11" s="92" t="s">
        <v>75</v>
      </c>
      <c r="C11" s="92">
        <v>2021</v>
      </c>
      <c r="D11" s="103">
        <v>31546</v>
      </c>
      <c r="E11" s="96">
        <f>F11+G11</f>
        <v>883419.87</v>
      </c>
      <c r="F11" s="96">
        <v>872246.9</v>
      </c>
      <c r="G11" s="96">
        <v>11172.97</v>
      </c>
      <c r="H11" s="96">
        <v>-137552.07</v>
      </c>
      <c r="I11" s="102"/>
      <c r="J11" s="97"/>
      <c r="K11" s="104">
        <f t="shared" si="1"/>
        <v>745867.8</v>
      </c>
    </row>
    <row r="12" spans="1:11" x14ac:dyDescent="0.25">
      <c r="A12" s="92"/>
      <c r="B12" s="92" t="s">
        <v>76</v>
      </c>
      <c r="C12" s="92">
        <v>2021</v>
      </c>
      <c r="D12" s="95">
        <v>17915</v>
      </c>
      <c r="E12" s="96">
        <f t="shared" si="0"/>
        <v>506242.23</v>
      </c>
      <c r="F12" s="96">
        <v>495349.75</v>
      </c>
      <c r="G12" s="96">
        <f>-2044.33+12936.81</f>
        <v>10892.48</v>
      </c>
      <c r="H12" s="96">
        <v>-8632.1199999999844</v>
      </c>
      <c r="I12" s="102"/>
      <c r="J12" s="97"/>
      <c r="K12" s="104">
        <f t="shared" si="1"/>
        <v>497610.11</v>
      </c>
    </row>
    <row r="13" spans="1:11" x14ac:dyDescent="0.25">
      <c r="A13" s="92"/>
      <c r="B13" s="92" t="s">
        <v>77</v>
      </c>
      <c r="C13" s="92">
        <v>2021</v>
      </c>
      <c r="D13" s="95">
        <v>21099</v>
      </c>
      <c r="E13" s="96">
        <f t="shared" si="0"/>
        <v>583387.35</v>
      </c>
      <c r="F13" s="96">
        <v>583387.35</v>
      </c>
      <c r="G13" s="96">
        <v>0</v>
      </c>
      <c r="H13" s="96">
        <v>-160044.27999999982</v>
      </c>
      <c r="I13" s="102"/>
      <c r="J13" s="97"/>
      <c r="K13" s="104">
        <f t="shared" si="1"/>
        <v>423343.07000000018</v>
      </c>
    </row>
    <row r="14" spans="1:11" x14ac:dyDescent="0.25">
      <c r="A14" s="92"/>
      <c r="B14" s="92" t="s">
        <v>78</v>
      </c>
      <c r="C14" s="92">
        <v>2021</v>
      </c>
      <c r="D14" s="95">
        <v>29613</v>
      </c>
      <c r="E14" s="96">
        <f t="shared" si="0"/>
        <v>826299.44999999902</v>
      </c>
      <c r="F14" s="96">
        <v>818799.44999999902</v>
      </c>
      <c r="G14" s="96">
        <v>7500</v>
      </c>
      <c r="H14" s="96">
        <v>-40063.090000000047</v>
      </c>
      <c r="I14" s="102"/>
      <c r="J14" s="97"/>
      <c r="K14" s="104">
        <f t="shared" si="1"/>
        <v>786236.35999999894</v>
      </c>
    </row>
    <row r="15" spans="1:11" x14ac:dyDescent="0.25">
      <c r="A15" s="92"/>
      <c r="B15" s="92" t="s">
        <v>79</v>
      </c>
      <c r="C15" s="92">
        <v>2022</v>
      </c>
      <c r="D15" s="105">
        <v>28373</v>
      </c>
      <c r="E15" s="104">
        <v>686683.53999999992</v>
      </c>
      <c r="F15" s="104">
        <v>689522.71</v>
      </c>
      <c r="G15" s="104">
        <v>-2839.17</v>
      </c>
      <c r="H15" s="104">
        <v>-198905.15000000029</v>
      </c>
      <c r="I15" s="102"/>
      <c r="J15" s="97"/>
      <c r="K15" s="104">
        <f t="shared" si="1"/>
        <v>487778.38999999966</v>
      </c>
    </row>
    <row r="16" spans="1:11" x14ac:dyDescent="0.25">
      <c r="A16" s="92"/>
      <c r="B16" s="92" t="s">
        <v>80</v>
      </c>
      <c r="C16" s="92">
        <v>2022</v>
      </c>
      <c r="D16" s="105">
        <v>39827</v>
      </c>
      <c r="E16" s="104">
        <v>1024238.1400000009</v>
      </c>
      <c r="F16" s="104">
        <v>1024138.1400000009</v>
      </c>
      <c r="G16" s="104">
        <v>100</v>
      </c>
      <c r="H16" s="104">
        <v>-55756.639999999927</v>
      </c>
      <c r="I16" s="102"/>
      <c r="J16" s="97"/>
      <c r="K16" s="104">
        <f t="shared" si="1"/>
        <v>968481.50000000105</v>
      </c>
    </row>
    <row r="17" spans="1:11" x14ac:dyDescent="0.25">
      <c r="A17" s="92"/>
      <c r="B17" s="92" t="s">
        <v>81</v>
      </c>
      <c r="C17" s="92">
        <v>2022</v>
      </c>
      <c r="D17" s="105">
        <v>48608</v>
      </c>
      <c r="E17" s="104">
        <v>1252197.76</v>
      </c>
      <c r="F17" s="104">
        <v>1250197.76</v>
      </c>
      <c r="G17" s="104">
        <v>2000</v>
      </c>
      <c r="H17" s="104">
        <v>238174.08999999997</v>
      </c>
      <c r="I17" s="102"/>
      <c r="J17" s="97"/>
      <c r="K17" s="104">
        <f t="shared" si="1"/>
        <v>1490371.85</v>
      </c>
    </row>
    <row r="18" spans="1:11" x14ac:dyDescent="0.25">
      <c r="A18" s="92"/>
      <c r="B18" s="92" t="s">
        <v>82</v>
      </c>
      <c r="C18" s="92">
        <v>2022</v>
      </c>
      <c r="D18" s="105">
        <v>50952</v>
      </c>
      <c r="E18" s="104">
        <v>1316985.4399999997</v>
      </c>
      <c r="F18" s="104">
        <v>1310485.4399999997</v>
      </c>
      <c r="G18" s="104">
        <v>6500</v>
      </c>
      <c r="H18" s="104">
        <v>241311.82999999973</v>
      </c>
      <c r="I18" s="102"/>
      <c r="J18" s="97"/>
      <c r="K18" s="104">
        <f t="shared" si="1"/>
        <v>1558297.2699999996</v>
      </c>
    </row>
    <row r="19" spans="1:11" x14ac:dyDescent="0.25">
      <c r="A19" s="92"/>
      <c r="B19" s="92" t="s">
        <v>83</v>
      </c>
      <c r="C19" s="92">
        <v>2022</v>
      </c>
      <c r="D19" s="105">
        <v>49492</v>
      </c>
      <c r="E19" s="104">
        <v>1273934.24</v>
      </c>
      <c r="F19" s="104">
        <v>1272934.24</v>
      </c>
      <c r="G19" s="104">
        <v>1000</v>
      </c>
      <c r="H19" s="104">
        <v>-494295.51000000053</v>
      </c>
      <c r="I19" s="102"/>
      <c r="J19" s="97"/>
      <c r="K19" s="104">
        <f t="shared" si="1"/>
        <v>779638.72999999952</v>
      </c>
    </row>
    <row r="20" spans="1:11" x14ac:dyDescent="0.25">
      <c r="A20" s="92"/>
      <c r="B20" s="92" t="s">
        <v>84</v>
      </c>
      <c r="C20" s="92">
        <v>2022</v>
      </c>
      <c r="D20" s="105">
        <v>41725</v>
      </c>
      <c r="E20" s="104">
        <v>1061167</v>
      </c>
      <c r="F20" s="104">
        <v>1073167</v>
      </c>
      <c r="G20" s="104">
        <v>-12000</v>
      </c>
      <c r="H20" s="104">
        <v>-793901.93999999971</v>
      </c>
      <c r="I20" s="102"/>
      <c r="J20" s="97"/>
      <c r="K20" s="104">
        <f t="shared" si="1"/>
        <v>267265.06000000029</v>
      </c>
    </row>
    <row r="21" spans="1:11" x14ac:dyDescent="0.25">
      <c r="A21" s="92"/>
      <c r="B21" s="92" t="s">
        <v>73</v>
      </c>
      <c r="C21" s="92">
        <v>2022</v>
      </c>
      <c r="D21" s="105">
        <v>36309</v>
      </c>
      <c r="E21" s="104">
        <v>933867.48</v>
      </c>
      <c r="F21" s="104">
        <v>933867.48</v>
      </c>
      <c r="G21" s="104">
        <v>0</v>
      </c>
      <c r="H21" s="104">
        <v>-1347374.78</v>
      </c>
      <c r="I21" s="102"/>
      <c r="J21" s="97"/>
      <c r="K21" s="104">
        <f t="shared" si="1"/>
        <v>-413507.30000000005</v>
      </c>
    </row>
    <row r="22" spans="1:11" x14ac:dyDescent="0.25">
      <c r="A22" s="92"/>
      <c r="B22" s="92" t="s">
        <v>74</v>
      </c>
      <c r="C22" s="92">
        <v>2022</v>
      </c>
      <c r="D22" s="105">
        <v>33859</v>
      </c>
      <c r="E22" s="104">
        <v>870853.48</v>
      </c>
      <c r="F22" s="104">
        <v>870853.48</v>
      </c>
      <c r="G22" s="104">
        <v>0</v>
      </c>
      <c r="H22" s="104">
        <v>-1524408.82</v>
      </c>
      <c r="I22" s="102"/>
      <c r="J22" s="97"/>
      <c r="K22" s="104">
        <f t="shared" si="1"/>
        <v>-653555.34000000008</v>
      </c>
    </row>
    <row r="23" spans="1:11" x14ac:dyDescent="0.25">
      <c r="A23" s="92"/>
      <c r="B23" s="92" t="s">
        <v>75</v>
      </c>
      <c r="C23" s="92">
        <v>2022</v>
      </c>
      <c r="D23" s="105">
        <v>39474</v>
      </c>
      <c r="E23" s="104">
        <v>1015271.28</v>
      </c>
      <c r="F23" s="104">
        <v>1015271.28</v>
      </c>
      <c r="G23" s="104">
        <v>0</v>
      </c>
      <c r="H23" s="104">
        <v>-432307.64</v>
      </c>
      <c r="I23" s="102"/>
      <c r="J23" s="97"/>
      <c r="K23" s="104">
        <f t="shared" si="1"/>
        <v>582963.64</v>
      </c>
    </row>
    <row r="24" spans="1:11" x14ac:dyDescent="0.25">
      <c r="A24" s="92"/>
      <c r="B24" s="92" t="s">
        <v>76</v>
      </c>
      <c r="C24" s="92">
        <v>2022</v>
      </c>
      <c r="D24" s="105">
        <v>34816</v>
      </c>
      <c r="E24" s="104">
        <v>895467.52000000002</v>
      </c>
      <c r="F24" s="104">
        <v>895467.52000000002</v>
      </c>
      <c r="G24" s="104">
        <v>0</v>
      </c>
      <c r="H24" s="104">
        <v>-717071.4</v>
      </c>
      <c r="I24" s="102"/>
      <c r="J24" s="97"/>
      <c r="K24" s="104">
        <f t="shared" si="1"/>
        <v>178396.12</v>
      </c>
    </row>
    <row r="25" spans="1:11" x14ac:dyDescent="0.25">
      <c r="A25" s="92"/>
      <c r="B25" s="92" t="s">
        <v>77</v>
      </c>
      <c r="C25" s="92">
        <v>2022</v>
      </c>
      <c r="D25" s="105">
        <v>49307</v>
      </c>
      <c r="E25" s="104">
        <v>1037633.65</v>
      </c>
      <c r="F25" s="104">
        <v>1268176.04</v>
      </c>
      <c r="G25" s="104">
        <v>-230542.39</v>
      </c>
      <c r="H25" s="104">
        <v>-25380.95</v>
      </c>
      <c r="I25" s="102"/>
      <c r="J25" s="97"/>
      <c r="K25" s="106">
        <f t="shared" si="1"/>
        <v>1012252.7000000001</v>
      </c>
    </row>
    <row r="26" spans="1:11" ht="15.75" thickBot="1" x14ac:dyDescent="0.3">
      <c r="A26" s="92"/>
      <c r="B26" s="92"/>
      <c r="C26" s="92"/>
      <c r="D26" s="95">
        <f>SUM(D8:D25)</f>
        <v>638532</v>
      </c>
      <c r="E26" s="107">
        <f>SUM(E8:E25)</f>
        <v>16566792.84</v>
      </c>
      <c r="F26" s="107">
        <f t="shared" ref="F26:H26" si="2">SUM(F8:F25)</f>
        <v>16741174.59</v>
      </c>
      <c r="G26" s="107">
        <f t="shared" si="2"/>
        <v>-174381.75</v>
      </c>
      <c r="H26" s="107">
        <f t="shared" si="2"/>
        <v>-6588864.0800000001</v>
      </c>
      <c r="I26" s="92"/>
      <c r="J26" s="108"/>
      <c r="K26" s="104">
        <f>SUM(K8:K25)</f>
        <v>9977928.7599999979</v>
      </c>
    </row>
    <row r="27" spans="1:11" ht="15.75" thickTop="1" x14ac:dyDescent="0.25">
      <c r="A27" s="92"/>
      <c r="B27" s="92"/>
      <c r="C27" s="92"/>
      <c r="D27" s="95"/>
      <c r="E27" s="96"/>
      <c r="F27" s="96"/>
      <c r="G27" s="96"/>
      <c r="H27" s="96"/>
      <c r="I27" s="92"/>
      <c r="J27" s="97"/>
      <c r="K27" s="92"/>
    </row>
    <row r="28" spans="1:11" x14ac:dyDescent="0.25">
      <c r="A28" s="92"/>
      <c r="B28" s="92"/>
      <c r="C28" s="92"/>
      <c r="D28" s="95"/>
      <c r="E28" s="96"/>
      <c r="F28" s="96"/>
      <c r="G28" s="96"/>
      <c r="H28" s="96"/>
      <c r="I28" s="92"/>
      <c r="J28" s="97"/>
      <c r="K28" s="92"/>
    </row>
    <row r="29" spans="1:11" x14ac:dyDescent="0.25">
      <c r="A29" s="92" t="s">
        <v>100</v>
      </c>
      <c r="B29" s="92" t="s">
        <v>84</v>
      </c>
      <c r="C29" s="92">
        <v>2021</v>
      </c>
      <c r="D29" s="103">
        <v>22852</v>
      </c>
      <c r="E29" s="96">
        <f t="shared" ref="E29:E35" si="3">G29+F29</f>
        <v>247801.12999999998</v>
      </c>
      <c r="F29" s="96">
        <v>486062.04</v>
      </c>
      <c r="G29" s="96">
        <v>-238260.91</v>
      </c>
      <c r="H29" s="96">
        <v>-67151.169999999605</v>
      </c>
      <c r="I29" s="92"/>
      <c r="J29" s="97"/>
      <c r="K29" s="104">
        <f t="shared" ref="K29:K46" si="4">E29+H29</f>
        <v>180649.96000000037</v>
      </c>
    </row>
    <row r="30" spans="1:11" x14ac:dyDescent="0.25">
      <c r="A30" s="92"/>
      <c r="B30" s="92" t="s">
        <v>73</v>
      </c>
      <c r="C30" s="92">
        <v>2021</v>
      </c>
      <c r="D30" s="103">
        <v>19033</v>
      </c>
      <c r="E30" s="96">
        <f t="shared" si="3"/>
        <v>270279.53999999998</v>
      </c>
      <c r="F30" s="96">
        <v>404831.91</v>
      </c>
      <c r="G30" s="96">
        <v>-134552.37</v>
      </c>
      <c r="H30" s="96">
        <v>-317809.6599999998</v>
      </c>
      <c r="I30" s="92"/>
      <c r="J30" s="97"/>
      <c r="K30" s="104">
        <f t="shared" si="4"/>
        <v>-47530.119999999821</v>
      </c>
    </row>
    <row r="31" spans="1:11" x14ac:dyDescent="0.25">
      <c r="A31" s="92"/>
      <c r="B31" s="92" t="s">
        <v>74</v>
      </c>
      <c r="C31" s="92">
        <v>2021</v>
      </c>
      <c r="D31" s="103">
        <v>26600</v>
      </c>
      <c r="E31" s="96">
        <f t="shared" si="3"/>
        <v>523344.88</v>
      </c>
      <c r="F31" s="96">
        <v>565782</v>
      </c>
      <c r="G31" s="96">
        <v>-42437.120000000003</v>
      </c>
      <c r="H31" s="96">
        <v>-276583.9800000001</v>
      </c>
      <c r="I31" s="92"/>
      <c r="J31" s="97"/>
      <c r="K31" s="104">
        <f t="shared" si="4"/>
        <v>246760.89999999991</v>
      </c>
    </row>
    <row r="32" spans="1:11" x14ac:dyDescent="0.25">
      <c r="A32" s="92"/>
      <c r="B32" s="92" t="s">
        <v>75</v>
      </c>
      <c r="C32" s="92">
        <v>2021</v>
      </c>
      <c r="D32" s="103">
        <v>29370</v>
      </c>
      <c r="E32" s="96">
        <f>G32+F32</f>
        <v>495056.18000000005</v>
      </c>
      <c r="F32" s="96">
        <v>624699.9</v>
      </c>
      <c r="G32" s="96">
        <v>-129643.72</v>
      </c>
      <c r="H32" s="96">
        <v>-8281.8900000000212</v>
      </c>
      <c r="I32" s="92"/>
      <c r="J32" s="97"/>
      <c r="K32" s="104">
        <f t="shared" si="4"/>
        <v>486774.29000000004</v>
      </c>
    </row>
    <row r="33" spans="1:11" x14ac:dyDescent="0.25">
      <c r="A33" s="92"/>
      <c r="B33" s="92" t="s">
        <v>76</v>
      </c>
      <c r="C33" s="92">
        <v>2021</v>
      </c>
      <c r="D33" s="103">
        <v>25406</v>
      </c>
      <c r="E33" s="96">
        <f t="shared" si="3"/>
        <v>-358814.54999999993</v>
      </c>
      <c r="F33" s="96">
        <v>540385.62</v>
      </c>
      <c r="G33" s="96">
        <f>-392527.48-506672.69</f>
        <v>-899200.16999999993</v>
      </c>
      <c r="H33" s="96">
        <v>287934.32000000024</v>
      </c>
      <c r="I33" s="92"/>
      <c r="J33" s="97"/>
      <c r="K33" s="104">
        <f t="shared" si="4"/>
        <v>-70880.22999999969</v>
      </c>
    </row>
    <row r="34" spans="1:11" x14ac:dyDescent="0.25">
      <c r="A34" s="92"/>
      <c r="B34" s="92" t="s">
        <v>77</v>
      </c>
      <c r="C34" s="92">
        <v>2021</v>
      </c>
      <c r="D34" s="95">
        <v>29210</v>
      </c>
      <c r="E34" s="96">
        <f t="shared" si="3"/>
        <v>621296.69999999995</v>
      </c>
      <c r="F34" s="96">
        <v>621296.69999999995</v>
      </c>
      <c r="G34" s="96">
        <v>0</v>
      </c>
      <c r="H34" s="96">
        <v>81154.379999999976</v>
      </c>
      <c r="I34" s="92"/>
      <c r="J34" s="97"/>
      <c r="K34" s="104">
        <f t="shared" si="4"/>
        <v>702451.08</v>
      </c>
    </row>
    <row r="35" spans="1:11" x14ac:dyDescent="0.25">
      <c r="A35" s="92"/>
      <c r="B35" s="92" t="s">
        <v>78</v>
      </c>
      <c r="C35" s="92">
        <v>2021</v>
      </c>
      <c r="D35" s="95">
        <v>33962</v>
      </c>
      <c r="E35" s="96">
        <f t="shared" si="3"/>
        <v>329237.43000000005</v>
      </c>
      <c r="F35" s="96">
        <v>736296.16</v>
      </c>
      <c r="G35" s="96">
        <v>-407058.73</v>
      </c>
      <c r="H35" s="96">
        <v>231737.37000000011</v>
      </c>
      <c r="I35" s="92"/>
      <c r="J35" s="97"/>
      <c r="K35" s="104">
        <f t="shared" si="4"/>
        <v>560974.80000000016</v>
      </c>
    </row>
    <row r="36" spans="1:11" x14ac:dyDescent="0.25">
      <c r="A36" s="92"/>
      <c r="B36" s="92" t="s">
        <v>79</v>
      </c>
      <c r="C36" s="92">
        <v>2022</v>
      </c>
      <c r="D36" s="105">
        <v>27378</v>
      </c>
      <c r="E36" s="104">
        <v>136017.43000000005</v>
      </c>
      <c r="F36" s="104">
        <v>593555.04</v>
      </c>
      <c r="G36" s="104">
        <v>-457537.61</v>
      </c>
      <c r="H36" s="104">
        <v>102918.53000000006</v>
      </c>
      <c r="I36" s="92"/>
      <c r="J36" s="97"/>
      <c r="K36" s="104">
        <f t="shared" si="4"/>
        <v>238935.96000000011</v>
      </c>
    </row>
    <row r="37" spans="1:11" x14ac:dyDescent="0.25">
      <c r="A37" s="92"/>
      <c r="B37" s="92" t="s">
        <v>80</v>
      </c>
      <c r="C37" s="92">
        <v>2022</v>
      </c>
      <c r="D37" s="105">
        <v>25970</v>
      </c>
      <c r="E37" s="104">
        <v>260484.44999999995</v>
      </c>
      <c r="F37" s="104">
        <v>563029.6</v>
      </c>
      <c r="G37" s="104">
        <v>-302545.15000000002</v>
      </c>
      <c r="H37" s="104">
        <v>128655.20000000007</v>
      </c>
      <c r="I37" s="92"/>
      <c r="J37" s="97"/>
      <c r="K37" s="104">
        <f t="shared" si="4"/>
        <v>389139.65</v>
      </c>
    </row>
    <row r="38" spans="1:11" x14ac:dyDescent="0.25">
      <c r="A38" s="92"/>
      <c r="B38" s="92" t="s">
        <v>81</v>
      </c>
      <c r="C38" s="92">
        <v>2022</v>
      </c>
      <c r="D38" s="105">
        <v>37413</v>
      </c>
      <c r="E38" s="104">
        <v>469388.53999999905</v>
      </c>
      <c r="F38" s="104">
        <v>811113.83999999904</v>
      </c>
      <c r="G38" s="104">
        <v>-341725.3</v>
      </c>
      <c r="H38" s="104">
        <v>301283.5400000005</v>
      </c>
      <c r="I38" s="92"/>
      <c r="J38" s="97"/>
      <c r="K38" s="104">
        <f t="shared" si="4"/>
        <v>770672.07999999961</v>
      </c>
    </row>
    <row r="39" spans="1:11" x14ac:dyDescent="0.25">
      <c r="A39" s="92"/>
      <c r="B39" s="92" t="s">
        <v>82</v>
      </c>
      <c r="C39" s="92">
        <v>2022</v>
      </c>
      <c r="D39" s="105">
        <v>41331</v>
      </c>
      <c r="E39" s="104">
        <v>368395.62000000093</v>
      </c>
      <c r="F39" s="104">
        <v>896056.08000000089</v>
      </c>
      <c r="G39" s="104">
        <v>-527660.46</v>
      </c>
      <c r="H39" s="104">
        <v>518414.06000000302</v>
      </c>
      <c r="I39" s="92"/>
      <c r="J39" s="97"/>
      <c r="K39" s="104">
        <f t="shared" si="4"/>
        <v>886809.68000000389</v>
      </c>
    </row>
    <row r="40" spans="1:11" x14ac:dyDescent="0.25">
      <c r="A40" s="92"/>
      <c r="B40" s="92" t="s">
        <v>83</v>
      </c>
      <c r="C40" s="92">
        <v>2022</v>
      </c>
      <c r="D40" s="105">
        <v>36001</v>
      </c>
      <c r="E40" s="104">
        <v>412402.00000000006</v>
      </c>
      <c r="F40" s="104">
        <v>780501.68</v>
      </c>
      <c r="G40" s="104">
        <v>-368099.68</v>
      </c>
      <c r="H40" s="104">
        <v>98390.149999999674</v>
      </c>
      <c r="I40" s="92"/>
      <c r="J40" s="97"/>
      <c r="K40" s="104">
        <f t="shared" si="4"/>
        <v>510792.14999999973</v>
      </c>
    </row>
    <row r="41" spans="1:11" x14ac:dyDescent="0.25">
      <c r="A41" s="92"/>
      <c r="B41" s="92" t="s">
        <v>84</v>
      </c>
      <c r="C41" s="92">
        <v>2022</v>
      </c>
      <c r="D41" s="105">
        <v>30710</v>
      </c>
      <c r="E41" s="104">
        <v>-202378.43999999994</v>
      </c>
      <c r="F41" s="104">
        <v>665792.80000000005</v>
      </c>
      <c r="G41" s="104">
        <v>-868171.24</v>
      </c>
      <c r="H41" s="104">
        <v>-382065.70000000007</v>
      </c>
      <c r="I41" s="92"/>
      <c r="J41" s="97"/>
      <c r="K41" s="104">
        <f t="shared" si="4"/>
        <v>-584444.14</v>
      </c>
    </row>
    <row r="42" spans="1:11" x14ac:dyDescent="0.25">
      <c r="A42" s="92"/>
      <c r="B42" s="92" t="s">
        <v>73</v>
      </c>
      <c r="C42" s="92">
        <v>2022</v>
      </c>
      <c r="D42" s="105">
        <v>20535</v>
      </c>
      <c r="E42" s="104">
        <v>273937.71999999997</v>
      </c>
      <c r="F42" s="104">
        <v>445198.8</v>
      </c>
      <c r="G42" s="104">
        <v>-171261.08</v>
      </c>
      <c r="H42" s="104">
        <v>-642195.41</v>
      </c>
      <c r="I42" s="92"/>
      <c r="J42" s="97"/>
      <c r="K42" s="104">
        <f t="shared" si="4"/>
        <v>-368257.69000000006</v>
      </c>
    </row>
    <row r="43" spans="1:11" x14ac:dyDescent="0.25">
      <c r="A43" s="92"/>
      <c r="B43" s="92" t="s">
        <v>74</v>
      </c>
      <c r="C43" s="92">
        <v>2022</v>
      </c>
      <c r="D43" s="105">
        <v>17059</v>
      </c>
      <c r="E43" s="104">
        <v>330026.86</v>
      </c>
      <c r="F43" s="104">
        <v>369839.12</v>
      </c>
      <c r="G43" s="104">
        <v>-39812.26</v>
      </c>
      <c r="H43" s="104">
        <v>-702283.25</v>
      </c>
      <c r="I43" s="92"/>
      <c r="J43" s="97"/>
      <c r="K43" s="104">
        <f t="shared" si="4"/>
        <v>-372256.39</v>
      </c>
    </row>
    <row r="44" spans="1:11" x14ac:dyDescent="0.25">
      <c r="A44" s="92"/>
      <c r="B44" s="92" t="s">
        <v>75</v>
      </c>
      <c r="C44" s="92">
        <v>2022</v>
      </c>
      <c r="D44" s="105">
        <v>22698</v>
      </c>
      <c r="E44" s="104">
        <v>453200.42000000004</v>
      </c>
      <c r="F44" s="104">
        <v>492092.64</v>
      </c>
      <c r="G44" s="104">
        <v>-38892.22</v>
      </c>
      <c r="H44" s="104">
        <v>-256569.44</v>
      </c>
      <c r="I44" s="92"/>
      <c r="J44" s="97"/>
      <c r="K44" s="104">
        <f t="shared" si="4"/>
        <v>196630.98000000004</v>
      </c>
    </row>
    <row r="45" spans="1:11" x14ac:dyDescent="0.25">
      <c r="A45" s="92"/>
      <c r="B45" s="92" t="s">
        <v>76</v>
      </c>
      <c r="C45" s="92">
        <v>2022</v>
      </c>
      <c r="D45" s="105">
        <v>20236</v>
      </c>
      <c r="E45" s="104">
        <v>259923.65999999997</v>
      </c>
      <c r="F45" s="104">
        <v>438716.48</v>
      </c>
      <c r="G45" s="104">
        <v>-178792.82</v>
      </c>
      <c r="H45" s="104">
        <v>-62877.08</v>
      </c>
      <c r="I45" s="92"/>
      <c r="J45" s="97"/>
      <c r="K45" s="104">
        <f t="shared" si="4"/>
        <v>197046.57999999996</v>
      </c>
    </row>
    <row r="46" spans="1:11" x14ac:dyDescent="0.25">
      <c r="A46" s="92"/>
      <c r="B46" s="92" t="s">
        <v>77</v>
      </c>
      <c r="C46" s="92">
        <v>2022</v>
      </c>
      <c r="D46" s="105">
        <v>36122</v>
      </c>
      <c r="E46" s="104">
        <v>534610.94999999995</v>
      </c>
      <c r="F46" s="104">
        <v>783124.96</v>
      </c>
      <c r="G46" s="104">
        <v>-248514.01</v>
      </c>
      <c r="H46" s="104">
        <v>317458.38</v>
      </c>
      <c r="I46" s="92"/>
      <c r="J46" s="97"/>
      <c r="K46" s="106">
        <f t="shared" si="4"/>
        <v>852069.33</v>
      </c>
    </row>
    <row r="47" spans="1:11" ht="15.75" thickBot="1" x14ac:dyDescent="0.3">
      <c r="A47" s="92"/>
      <c r="B47" s="92"/>
      <c r="C47" s="92"/>
      <c r="D47" s="95">
        <f>SUM(D29:D46)</f>
        <v>501886</v>
      </c>
      <c r="E47" s="107">
        <f>SUM(E29:E46)</f>
        <v>5424210.5200000014</v>
      </c>
      <c r="F47" s="107">
        <f t="shared" ref="F47:H47" si="5">SUM(F29:F46)</f>
        <v>10818375.370000001</v>
      </c>
      <c r="G47" s="107">
        <f t="shared" si="5"/>
        <v>-5394164.8499999996</v>
      </c>
      <c r="H47" s="107">
        <f t="shared" si="5"/>
        <v>-647871.64999999595</v>
      </c>
      <c r="I47" s="92"/>
      <c r="J47" s="108"/>
      <c r="K47" s="104">
        <f>SUM(K29:K46)</f>
        <v>4776338.8700000038</v>
      </c>
    </row>
    <row r="48" spans="1:11" ht="15.75" thickTop="1" x14ac:dyDescent="0.25">
      <c r="A48" s="92"/>
      <c r="B48" s="92"/>
      <c r="C48" s="92"/>
      <c r="D48" s="95"/>
      <c r="E48" s="96"/>
      <c r="F48" s="96"/>
      <c r="G48" s="96"/>
      <c r="H48" s="96"/>
      <c r="I48" s="92"/>
      <c r="J48" s="97"/>
      <c r="K48" s="92"/>
    </row>
    <row r="49" spans="1:11" x14ac:dyDescent="0.25">
      <c r="A49" s="92"/>
      <c r="B49" s="92"/>
      <c r="C49" s="92"/>
      <c r="D49" s="95"/>
      <c r="E49" s="96"/>
      <c r="F49" s="96"/>
      <c r="G49" s="96"/>
      <c r="H49" s="96"/>
      <c r="I49" s="92"/>
      <c r="J49" s="97"/>
      <c r="K49" s="92"/>
    </row>
    <row r="50" spans="1:11" x14ac:dyDescent="0.25">
      <c r="A50" s="92" t="s">
        <v>87</v>
      </c>
      <c r="B50" s="92" t="s">
        <v>84</v>
      </c>
      <c r="C50" s="92">
        <v>2021</v>
      </c>
      <c r="D50" s="95">
        <v>15745</v>
      </c>
      <c r="E50" s="96">
        <f t="shared" ref="E50:E56" si="6">G50+F50</f>
        <v>506405.57000000105</v>
      </c>
      <c r="F50" s="96">
        <v>495967.50000000105</v>
      </c>
      <c r="G50" s="96">
        <v>10438.07</v>
      </c>
      <c r="H50" s="96">
        <v>-318020.25000001123</v>
      </c>
      <c r="I50" s="92"/>
      <c r="J50" s="97"/>
      <c r="K50" s="104">
        <f t="shared" ref="K50:K67" si="7">E50+H50</f>
        <v>188385.31999998982</v>
      </c>
    </row>
    <row r="51" spans="1:11" x14ac:dyDescent="0.25">
      <c r="A51" s="92"/>
      <c r="B51" s="92" t="s">
        <v>73</v>
      </c>
      <c r="C51" s="92">
        <v>2021</v>
      </c>
      <c r="D51" s="103">
        <v>12960</v>
      </c>
      <c r="E51" s="96">
        <f t="shared" si="6"/>
        <v>390208.89</v>
      </c>
      <c r="F51" s="96">
        <v>408240</v>
      </c>
      <c r="G51" s="96">
        <v>-18031.11</v>
      </c>
      <c r="H51" s="96">
        <v>-321603.29999999993</v>
      </c>
      <c r="I51" s="92"/>
      <c r="J51" s="97"/>
      <c r="K51" s="104">
        <f t="shared" si="7"/>
        <v>68605.590000000084</v>
      </c>
    </row>
    <row r="52" spans="1:11" x14ac:dyDescent="0.25">
      <c r="A52" s="92"/>
      <c r="B52" s="92" t="s">
        <v>74</v>
      </c>
      <c r="C52" s="92">
        <v>2021</v>
      </c>
      <c r="D52" s="103">
        <v>21730</v>
      </c>
      <c r="E52" s="96">
        <f t="shared" si="6"/>
        <v>681677.77</v>
      </c>
      <c r="F52" s="96">
        <v>684495</v>
      </c>
      <c r="G52" s="96">
        <v>-2817.23</v>
      </c>
      <c r="H52" s="96">
        <v>-562753.38999999943</v>
      </c>
      <c r="I52" s="92"/>
      <c r="J52" s="97"/>
      <c r="K52" s="104">
        <f t="shared" si="7"/>
        <v>118924.38000000059</v>
      </c>
    </row>
    <row r="53" spans="1:11" x14ac:dyDescent="0.25">
      <c r="A53" s="92"/>
      <c r="B53" s="92" t="s">
        <v>75</v>
      </c>
      <c r="C53" s="92">
        <v>2021</v>
      </c>
      <c r="D53" s="103">
        <v>22839</v>
      </c>
      <c r="E53" s="96">
        <f t="shared" si="6"/>
        <v>738218.97</v>
      </c>
      <c r="F53" s="96">
        <v>719428.5</v>
      </c>
      <c r="G53" s="96">
        <v>18790.47</v>
      </c>
      <c r="H53" s="96">
        <v>-333171.4400000943</v>
      </c>
      <c r="I53" s="92"/>
      <c r="J53" s="97"/>
      <c r="K53" s="104">
        <f t="shared" si="7"/>
        <v>405047.52999990567</v>
      </c>
    </row>
    <row r="54" spans="1:11" x14ac:dyDescent="0.25">
      <c r="A54" s="92"/>
      <c r="B54" s="92" t="s">
        <v>76</v>
      </c>
      <c r="C54" s="92">
        <v>2021</v>
      </c>
      <c r="D54" s="95">
        <v>25181</v>
      </c>
      <c r="E54" s="96">
        <f t="shared" si="6"/>
        <v>960507.67</v>
      </c>
      <c r="F54" s="96">
        <v>793201.5</v>
      </c>
      <c r="G54" s="96">
        <f>116727.8+50578.37</f>
        <v>167306.17000000001</v>
      </c>
      <c r="H54" s="96">
        <v>-531495.94000024814</v>
      </c>
      <c r="I54" s="92"/>
      <c r="J54" s="97"/>
      <c r="K54" s="104">
        <f t="shared" si="7"/>
        <v>429011.7299997519</v>
      </c>
    </row>
    <row r="55" spans="1:11" x14ac:dyDescent="0.25">
      <c r="A55" s="92"/>
      <c r="B55" s="92" t="s">
        <v>77</v>
      </c>
      <c r="C55" s="92">
        <v>2021</v>
      </c>
      <c r="D55" s="95">
        <v>27899</v>
      </c>
      <c r="E55" s="96">
        <f t="shared" si="6"/>
        <v>1086118.5</v>
      </c>
      <c r="F55" s="96">
        <v>878818.5</v>
      </c>
      <c r="G55" s="96">
        <v>207300</v>
      </c>
      <c r="H55" s="96">
        <v>-541084.56000000006</v>
      </c>
      <c r="I55" s="92"/>
      <c r="J55" s="97"/>
      <c r="K55" s="104">
        <f t="shared" si="7"/>
        <v>545033.93999999994</v>
      </c>
    </row>
    <row r="56" spans="1:11" x14ac:dyDescent="0.25">
      <c r="A56" s="92"/>
      <c r="B56" s="92" t="s">
        <v>78</v>
      </c>
      <c r="C56" s="92">
        <v>2021</v>
      </c>
      <c r="D56" s="95">
        <v>32434</v>
      </c>
      <c r="E56" s="96">
        <f t="shared" si="6"/>
        <v>1089834.6000000001</v>
      </c>
      <c r="F56" s="96">
        <v>1021671</v>
      </c>
      <c r="G56" s="96">
        <v>68163.600000000035</v>
      </c>
      <c r="H56" s="96">
        <v>-333804.44000000082</v>
      </c>
      <c r="I56" s="92"/>
      <c r="J56" s="97"/>
      <c r="K56" s="104">
        <f t="shared" si="7"/>
        <v>756030.15999999922</v>
      </c>
    </row>
    <row r="57" spans="1:11" x14ac:dyDescent="0.25">
      <c r="A57" s="92"/>
      <c r="B57" s="92" t="s">
        <v>79</v>
      </c>
      <c r="C57" s="92">
        <v>2022</v>
      </c>
      <c r="D57" s="105">
        <v>29292</v>
      </c>
      <c r="E57" s="104">
        <v>965107.44999999902</v>
      </c>
      <c r="F57" s="104">
        <v>922697.99999999895</v>
      </c>
      <c r="G57" s="104">
        <v>42409.450000000012</v>
      </c>
      <c r="H57" s="104">
        <v>-551697.2900000005</v>
      </c>
      <c r="I57" s="92"/>
      <c r="J57" s="97"/>
      <c r="K57" s="104">
        <f t="shared" si="7"/>
        <v>413410.15999999852</v>
      </c>
    </row>
    <row r="58" spans="1:11" x14ac:dyDescent="0.25">
      <c r="A58" s="92"/>
      <c r="B58" s="92" t="s">
        <v>80</v>
      </c>
      <c r="C58" s="92">
        <v>2022</v>
      </c>
      <c r="D58" s="105">
        <v>31601</v>
      </c>
      <c r="E58" s="104">
        <v>1061842.790000001</v>
      </c>
      <c r="F58" s="104">
        <v>995431.50000000105</v>
      </c>
      <c r="G58" s="104">
        <v>66411.289999999994</v>
      </c>
      <c r="H58" s="104">
        <v>-477246.0400000001</v>
      </c>
      <c r="I58" s="92"/>
      <c r="J58" s="97"/>
      <c r="K58" s="104">
        <f t="shared" si="7"/>
        <v>584596.75000000093</v>
      </c>
    </row>
    <row r="59" spans="1:11" x14ac:dyDescent="0.25">
      <c r="A59" s="92"/>
      <c r="B59" s="92" t="s">
        <v>81</v>
      </c>
      <c r="C59" s="92">
        <v>2022</v>
      </c>
      <c r="D59" s="105">
        <v>34411</v>
      </c>
      <c r="E59" s="104">
        <v>1021552.01</v>
      </c>
      <c r="F59" s="104">
        <v>1083946.5</v>
      </c>
      <c r="G59" s="104">
        <v>-62394.489999999991</v>
      </c>
      <c r="H59" s="104">
        <v>-327963.25000000017</v>
      </c>
      <c r="I59" s="92"/>
      <c r="J59" s="97"/>
      <c r="K59" s="104">
        <f t="shared" si="7"/>
        <v>693588.75999999978</v>
      </c>
    </row>
    <row r="60" spans="1:11" x14ac:dyDescent="0.25">
      <c r="A60" s="92"/>
      <c r="B60" s="92" t="s">
        <v>82</v>
      </c>
      <c r="C60" s="92">
        <v>2022</v>
      </c>
      <c r="D60" s="105">
        <v>34131</v>
      </c>
      <c r="E60" s="104">
        <v>1624348.8199999998</v>
      </c>
      <c r="F60" s="104">
        <v>1075126.5</v>
      </c>
      <c r="G60" s="104">
        <v>549222.31999999995</v>
      </c>
      <c r="H60" s="104">
        <v>-401618.82999999949</v>
      </c>
      <c r="I60" s="92"/>
      <c r="J60" s="97"/>
      <c r="K60" s="104">
        <f t="shared" si="7"/>
        <v>1222729.9900000002</v>
      </c>
    </row>
    <row r="61" spans="1:11" x14ac:dyDescent="0.25">
      <c r="A61" s="92"/>
      <c r="B61" s="92" t="s">
        <v>83</v>
      </c>
      <c r="C61" s="92">
        <v>2022</v>
      </c>
      <c r="D61" s="105">
        <v>25458</v>
      </c>
      <c r="E61" s="104">
        <v>704450.20999999903</v>
      </c>
      <c r="F61" s="104">
        <v>801926.99999999895</v>
      </c>
      <c r="G61" s="104">
        <v>-97476.789999999979</v>
      </c>
      <c r="H61" s="104">
        <v>-778116.30000000016</v>
      </c>
      <c r="I61" s="92"/>
      <c r="J61" s="97"/>
      <c r="K61" s="104">
        <f t="shared" si="7"/>
        <v>-73666.090000001132</v>
      </c>
    </row>
    <row r="62" spans="1:11" x14ac:dyDescent="0.25">
      <c r="A62" s="92"/>
      <c r="B62" s="92" t="s">
        <v>84</v>
      </c>
      <c r="C62" s="92">
        <v>2022</v>
      </c>
      <c r="D62" s="105">
        <v>20319</v>
      </c>
      <c r="E62" s="104">
        <v>546407.820000001</v>
      </c>
      <c r="F62" s="104">
        <v>640048.50000000105</v>
      </c>
      <c r="G62" s="104">
        <v>-93640.68</v>
      </c>
      <c r="H62" s="104">
        <v>-741048.59999999939</v>
      </c>
      <c r="I62" s="92"/>
      <c r="J62" s="97"/>
      <c r="K62" s="104">
        <f t="shared" si="7"/>
        <v>-194640.7799999984</v>
      </c>
    </row>
    <row r="63" spans="1:11" x14ac:dyDescent="0.25">
      <c r="A63" s="92"/>
      <c r="B63" s="92" t="s">
        <v>73</v>
      </c>
      <c r="C63" s="92">
        <v>2022</v>
      </c>
      <c r="D63" s="105">
        <v>15367</v>
      </c>
      <c r="E63" s="104">
        <v>454879.93</v>
      </c>
      <c r="F63" s="104">
        <v>484060.5</v>
      </c>
      <c r="G63" s="104">
        <v>-29180.57</v>
      </c>
      <c r="H63" s="104">
        <v>-748732.77</v>
      </c>
      <c r="I63" s="92"/>
      <c r="J63" s="97"/>
      <c r="K63" s="104">
        <f t="shared" si="7"/>
        <v>-293852.84000000003</v>
      </c>
    </row>
    <row r="64" spans="1:11" x14ac:dyDescent="0.25">
      <c r="A64" s="92"/>
      <c r="B64" s="92" t="s">
        <v>74</v>
      </c>
      <c r="C64" s="92">
        <v>2022</v>
      </c>
      <c r="D64" s="105">
        <v>15903</v>
      </c>
      <c r="E64" s="104">
        <v>504102.68</v>
      </c>
      <c r="F64" s="104">
        <v>500944.5</v>
      </c>
      <c r="G64" s="104">
        <v>3158.18</v>
      </c>
      <c r="H64" s="104">
        <v>-828026.86</v>
      </c>
      <c r="I64" s="92"/>
      <c r="J64" s="97"/>
      <c r="K64" s="104">
        <f t="shared" si="7"/>
        <v>-323924.18</v>
      </c>
    </row>
    <row r="65" spans="1:11" x14ac:dyDescent="0.25">
      <c r="A65" s="92"/>
      <c r="B65" s="92" t="s">
        <v>75</v>
      </c>
      <c r="C65" s="92">
        <v>2022</v>
      </c>
      <c r="D65" s="105">
        <v>20076</v>
      </c>
      <c r="E65" s="104">
        <v>636146.96</v>
      </c>
      <c r="F65" s="104">
        <v>632394</v>
      </c>
      <c r="G65" s="104">
        <v>3752.96</v>
      </c>
      <c r="H65" s="104">
        <v>-561843.03</v>
      </c>
      <c r="I65" s="92"/>
      <c r="J65" s="97"/>
      <c r="K65" s="104">
        <f t="shared" si="7"/>
        <v>74303.929999999935</v>
      </c>
    </row>
    <row r="66" spans="1:11" x14ac:dyDescent="0.25">
      <c r="A66" s="92"/>
      <c r="B66" s="92" t="s">
        <v>76</v>
      </c>
      <c r="C66" s="92">
        <v>2022</v>
      </c>
      <c r="D66" s="105">
        <v>22601</v>
      </c>
      <c r="E66" s="104">
        <v>975252.44</v>
      </c>
      <c r="F66" s="104">
        <v>711931.5</v>
      </c>
      <c r="G66" s="104">
        <v>263320.94</v>
      </c>
      <c r="H66" s="104">
        <v>-861667.14</v>
      </c>
      <c r="I66" s="92"/>
      <c r="J66" s="97"/>
      <c r="K66" s="104">
        <f t="shared" si="7"/>
        <v>113585.29999999993</v>
      </c>
    </row>
    <row r="67" spans="1:11" x14ac:dyDescent="0.25">
      <c r="A67" s="92"/>
      <c r="B67" s="92" t="s">
        <v>77</v>
      </c>
      <c r="C67" s="92">
        <v>2022</v>
      </c>
      <c r="D67" s="105">
        <v>33708</v>
      </c>
      <c r="E67" s="104">
        <v>1424552.1099999999</v>
      </c>
      <c r="F67" s="104">
        <v>1061802</v>
      </c>
      <c r="G67" s="104">
        <v>362750.11</v>
      </c>
      <c r="H67" s="104">
        <v>-714527.89</v>
      </c>
      <c r="I67" s="92"/>
      <c r="J67" s="97"/>
      <c r="K67" s="106">
        <f t="shared" si="7"/>
        <v>710024.21999999986</v>
      </c>
    </row>
    <row r="68" spans="1:11" ht="15.75" thickBot="1" x14ac:dyDescent="0.3">
      <c r="A68" s="92"/>
      <c r="B68" s="92"/>
      <c r="C68" s="92"/>
      <c r="D68" s="95">
        <f>SUM(D50:D67)</f>
        <v>441655</v>
      </c>
      <c r="E68" s="107">
        <f>SUM(E50:E67)</f>
        <v>15371615.189999999</v>
      </c>
      <c r="F68" s="107">
        <f t="shared" ref="F68:H68" si="8">SUM(F50:F67)</f>
        <v>13912132.5</v>
      </c>
      <c r="G68" s="107">
        <f t="shared" si="8"/>
        <v>1459482.69</v>
      </c>
      <c r="H68" s="107">
        <f t="shared" si="8"/>
        <v>-9934421.3200003542</v>
      </c>
      <c r="I68" s="92"/>
      <c r="J68" s="108"/>
      <c r="K68" s="104">
        <f>SUM(K50:K67)</f>
        <v>5437193.8699996471</v>
      </c>
    </row>
    <row r="69" spans="1:11" ht="15.75" thickTop="1" x14ac:dyDescent="0.25">
      <c r="A69" s="92"/>
      <c r="B69" s="92"/>
      <c r="C69" s="92"/>
      <c r="D69" s="95"/>
      <c r="E69" s="96"/>
      <c r="F69" s="96"/>
      <c r="G69" s="96"/>
      <c r="H69" s="96"/>
      <c r="I69" s="92"/>
      <c r="J69" s="97"/>
      <c r="K69" s="92"/>
    </row>
    <row r="70" spans="1:11" x14ac:dyDescent="0.25">
      <c r="A70" s="92"/>
      <c r="B70" s="92"/>
      <c r="C70" s="92"/>
      <c r="D70" s="95"/>
      <c r="E70" s="96"/>
      <c r="F70" s="96"/>
      <c r="G70" s="96"/>
      <c r="H70" s="96"/>
      <c r="I70" s="92"/>
      <c r="J70" s="97"/>
      <c r="K70" s="92"/>
    </row>
    <row r="71" spans="1:11" x14ac:dyDescent="0.25">
      <c r="A71" s="92" t="s">
        <v>88</v>
      </c>
      <c r="B71" s="92" t="s">
        <v>84</v>
      </c>
      <c r="C71" s="92">
        <v>2021</v>
      </c>
      <c r="D71" s="95">
        <v>24583</v>
      </c>
      <c r="E71" s="96">
        <f t="shared" ref="E71:E77" si="9">F71+G71</f>
        <v>734892.35</v>
      </c>
      <c r="F71" s="96">
        <v>736260.85</v>
      </c>
      <c r="G71" s="96">
        <v>-1368.5</v>
      </c>
      <c r="H71" s="96">
        <v>-464791.88999999961</v>
      </c>
      <c r="I71" s="92"/>
      <c r="J71" s="97"/>
      <c r="K71" s="104">
        <f t="shared" ref="K71:K88" si="10">E71+H71</f>
        <v>270100.46000000037</v>
      </c>
    </row>
    <row r="72" spans="1:11" x14ac:dyDescent="0.25">
      <c r="A72" s="92"/>
      <c r="B72" s="92" t="s">
        <v>73</v>
      </c>
      <c r="C72" s="92">
        <v>2021</v>
      </c>
      <c r="D72" s="103">
        <v>18688</v>
      </c>
      <c r="E72" s="96">
        <f t="shared" si="9"/>
        <v>562019</v>
      </c>
      <c r="F72" s="96">
        <v>559705.59999999998</v>
      </c>
      <c r="G72" s="96">
        <v>2313.4</v>
      </c>
      <c r="H72" s="96">
        <v>-458074.06000000011</v>
      </c>
      <c r="I72" s="92"/>
      <c r="J72" s="97"/>
      <c r="K72" s="104">
        <f t="shared" si="10"/>
        <v>103944.93999999989</v>
      </c>
    </row>
    <row r="73" spans="1:11" x14ac:dyDescent="0.25">
      <c r="A73" s="92"/>
      <c r="B73" s="92" t="s">
        <v>74</v>
      </c>
      <c r="C73" s="92">
        <v>2021</v>
      </c>
      <c r="D73" s="103">
        <v>31981</v>
      </c>
      <c r="E73" s="96">
        <f t="shared" si="9"/>
        <v>957530.4099999991</v>
      </c>
      <c r="F73" s="96">
        <v>957830.94999999914</v>
      </c>
      <c r="G73" s="96">
        <v>-300.53999999999996</v>
      </c>
      <c r="H73" s="96">
        <v>-723292.14999999991</v>
      </c>
      <c r="I73" s="92"/>
      <c r="J73" s="97"/>
      <c r="K73" s="104">
        <f t="shared" si="10"/>
        <v>234238.25999999919</v>
      </c>
    </row>
    <row r="74" spans="1:11" x14ac:dyDescent="0.25">
      <c r="A74" s="92"/>
      <c r="B74" s="92" t="s">
        <v>75</v>
      </c>
      <c r="C74" s="92">
        <v>2021</v>
      </c>
      <c r="D74" s="103">
        <v>32808</v>
      </c>
      <c r="E74" s="96">
        <f>F74+G74</f>
        <v>991999.58</v>
      </c>
      <c r="F74" s="96">
        <v>982599.6</v>
      </c>
      <c r="G74" s="96">
        <v>9399.98</v>
      </c>
      <c r="H74" s="96">
        <v>-325985.1599999998</v>
      </c>
      <c r="I74" s="92"/>
      <c r="J74" s="97"/>
      <c r="K74" s="104">
        <f t="shared" si="10"/>
        <v>666014.42000000016</v>
      </c>
    </row>
    <row r="75" spans="1:11" x14ac:dyDescent="0.25">
      <c r="A75" s="92"/>
      <c r="B75" s="92" t="s">
        <v>76</v>
      </c>
      <c r="C75" s="92">
        <v>2021</v>
      </c>
      <c r="D75" s="95">
        <v>36124</v>
      </c>
      <c r="E75" s="96">
        <f t="shared" si="9"/>
        <v>1156201.27</v>
      </c>
      <c r="F75" s="96">
        <v>1081913.8</v>
      </c>
      <c r="G75" s="96">
        <f>57718.19+16569.28</f>
        <v>74287.47</v>
      </c>
      <c r="H75" s="96">
        <v>-538016.78000000026</v>
      </c>
      <c r="I75" s="92"/>
      <c r="J75" s="97"/>
      <c r="K75" s="104">
        <f t="shared" si="10"/>
        <v>618184.48999999976</v>
      </c>
    </row>
    <row r="76" spans="1:11" x14ac:dyDescent="0.25">
      <c r="A76" s="92"/>
      <c r="B76" s="92" t="s">
        <v>77</v>
      </c>
      <c r="C76" s="92">
        <v>2021</v>
      </c>
      <c r="D76" s="95">
        <v>41555</v>
      </c>
      <c r="E76" s="96">
        <f t="shared" si="9"/>
        <v>1269272.25</v>
      </c>
      <c r="F76" s="96">
        <v>1244572.25</v>
      </c>
      <c r="G76" s="96">
        <v>24700</v>
      </c>
      <c r="H76" s="96">
        <v>-490157.10000000033</v>
      </c>
      <c r="I76" s="92"/>
      <c r="J76" s="97"/>
      <c r="K76" s="104">
        <f t="shared" si="10"/>
        <v>779115.14999999967</v>
      </c>
    </row>
    <row r="77" spans="1:11" x14ac:dyDescent="0.25">
      <c r="A77" s="92"/>
      <c r="B77" s="92" t="s">
        <v>78</v>
      </c>
      <c r="C77" s="92">
        <v>2021</v>
      </c>
      <c r="D77" s="95">
        <v>44746</v>
      </c>
      <c r="E77" s="96">
        <f t="shared" si="9"/>
        <v>1344882.92</v>
      </c>
      <c r="F77" s="96">
        <v>1340142.7</v>
      </c>
      <c r="G77" s="96">
        <v>4740.2200000000012</v>
      </c>
      <c r="H77" s="96">
        <v>-388386.01000000013</v>
      </c>
      <c r="I77" s="92"/>
      <c r="J77" s="97"/>
      <c r="K77" s="104">
        <f t="shared" si="10"/>
        <v>956496.9099999998</v>
      </c>
    </row>
    <row r="78" spans="1:11" x14ac:dyDescent="0.25">
      <c r="A78" s="92"/>
      <c r="B78" s="92" t="s">
        <v>79</v>
      </c>
      <c r="C78" s="92">
        <v>2022</v>
      </c>
      <c r="D78" s="105">
        <v>43527</v>
      </c>
      <c r="E78" s="104">
        <v>1302323.2</v>
      </c>
      <c r="F78" s="104">
        <v>1303633.6499999999</v>
      </c>
      <c r="G78" s="104">
        <v>-1310.4500000000007</v>
      </c>
      <c r="H78" s="104">
        <v>-631644.83000000124</v>
      </c>
      <c r="I78" s="92"/>
      <c r="J78" s="97"/>
      <c r="K78" s="104">
        <f t="shared" si="10"/>
        <v>670678.36999999871</v>
      </c>
    </row>
    <row r="79" spans="1:11" x14ac:dyDescent="0.25">
      <c r="A79" s="92"/>
      <c r="B79" s="92" t="s">
        <v>80</v>
      </c>
      <c r="C79" s="92">
        <v>2022</v>
      </c>
      <c r="D79" s="105">
        <v>41942</v>
      </c>
      <c r="E79" s="104">
        <v>1275713.0499999998</v>
      </c>
      <c r="F79" s="104">
        <v>1256162.8999999999</v>
      </c>
      <c r="G79" s="104">
        <v>19550.150000000001</v>
      </c>
      <c r="H79" s="104">
        <v>-491295.16999999993</v>
      </c>
      <c r="I79" s="92"/>
      <c r="J79" s="97"/>
      <c r="K79" s="104">
        <f t="shared" si="10"/>
        <v>784417.87999999989</v>
      </c>
    </row>
    <row r="80" spans="1:11" x14ac:dyDescent="0.25">
      <c r="A80" s="92"/>
      <c r="B80" s="92" t="s">
        <v>81</v>
      </c>
      <c r="C80" s="92">
        <v>2022</v>
      </c>
      <c r="D80" s="105">
        <v>46786</v>
      </c>
      <c r="E80" s="104">
        <v>1421211.24</v>
      </c>
      <c r="F80" s="104">
        <v>1401240.7</v>
      </c>
      <c r="G80" s="104">
        <v>19970.54</v>
      </c>
      <c r="H80" s="104">
        <v>-444059.88000000064</v>
      </c>
      <c r="I80" s="92"/>
      <c r="J80" s="97"/>
      <c r="K80" s="104">
        <f t="shared" si="10"/>
        <v>977151.3599999994</v>
      </c>
    </row>
    <row r="81" spans="1:11" x14ac:dyDescent="0.25">
      <c r="A81" s="92"/>
      <c r="B81" s="92" t="s">
        <v>82</v>
      </c>
      <c r="C81" s="92">
        <v>2022</v>
      </c>
      <c r="D81" s="105">
        <v>45837</v>
      </c>
      <c r="E81" s="104">
        <v>1497371.3699999999</v>
      </c>
      <c r="F81" s="104">
        <v>1372818.15</v>
      </c>
      <c r="G81" s="104">
        <v>124553.22</v>
      </c>
      <c r="H81" s="104">
        <v>-577060.39000000095</v>
      </c>
      <c r="I81" s="92"/>
      <c r="J81" s="97"/>
      <c r="K81" s="104">
        <f t="shared" si="10"/>
        <v>920310.97999999893</v>
      </c>
    </row>
    <row r="82" spans="1:11" x14ac:dyDescent="0.25">
      <c r="A82" s="92"/>
      <c r="B82" s="92" t="s">
        <v>83</v>
      </c>
      <c r="C82" s="92">
        <v>2022</v>
      </c>
      <c r="D82" s="105">
        <v>41421</v>
      </c>
      <c r="E82" s="104">
        <v>1283250.68</v>
      </c>
      <c r="F82" s="104">
        <v>1240558.95</v>
      </c>
      <c r="G82" s="104">
        <v>42691.73000000001</v>
      </c>
      <c r="H82" s="104">
        <v>-953263.57</v>
      </c>
      <c r="I82" s="92"/>
      <c r="J82" s="97"/>
      <c r="K82" s="104">
        <f t="shared" si="10"/>
        <v>329987.11</v>
      </c>
    </row>
    <row r="83" spans="1:11" x14ac:dyDescent="0.25">
      <c r="A83" s="92"/>
      <c r="B83" s="92" t="s">
        <v>84</v>
      </c>
      <c r="C83" s="92">
        <v>2022</v>
      </c>
      <c r="D83" s="105">
        <v>31797</v>
      </c>
      <c r="E83" s="104">
        <v>975451.44000000006</v>
      </c>
      <c r="F83" s="104">
        <v>952320.15</v>
      </c>
      <c r="G83" s="104">
        <v>23131.29</v>
      </c>
      <c r="H83" s="104">
        <v>-1025899.8000000002</v>
      </c>
      <c r="I83" s="92"/>
      <c r="J83" s="97"/>
      <c r="K83" s="104">
        <f t="shared" si="10"/>
        <v>-50448.360000000102</v>
      </c>
    </row>
    <row r="84" spans="1:11" x14ac:dyDescent="0.25">
      <c r="A84" s="92"/>
      <c r="B84" s="92" t="s">
        <v>73</v>
      </c>
      <c r="C84" s="92">
        <v>2022</v>
      </c>
      <c r="D84" s="105">
        <v>23681</v>
      </c>
      <c r="E84" s="104">
        <v>630005.99</v>
      </c>
      <c r="F84" s="104">
        <v>709245.95</v>
      </c>
      <c r="G84" s="104">
        <v>-79239.960000000006</v>
      </c>
      <c r="H84" s="104">
        <v>-1137711.06</v>
      </c>
      <c r="I84" s="92"/>
      <c r="J84" s="97"/>
      <c r="K84" s="104">
        <f t="shared" si="10"/>
        <v>-507705.07000000007</v>
      </c>
    </row>
    <row r="85" spans="1:11" x14ac:dyDescent="0.25">
      <c r="A85" s="92"/>
      <c r="B85" s="92" t="s">
        <v>74</v>
      </c>
      <c r="C85" s="92">
        <v>2022</v>
      </c>
      <c r="D85" s="105">
        <v>22957</v>
      </c>
      <c r="E85" s="104">
        <v>687720.92</v>
      </c>
      <c r="F85" s="104">
        <v>687562.15</v>
      </c>
      <c r="G85" s="104">
        <v>158.77000000000001</v>
      </c>
      <c r="H85" s="104">
        <v>-1248706.07</v>
      </c>
      <c r="I85" s="92"/>
      <c r="J85" s="97"/>
      <c r="K85" s="104">
        <f t="shared" si="10"/>
        <v>-560985.15</v>
      </c>
    </row>
    <row r="86" spans="1:11" x14ac:dyDescent="0.25">
      <c r="A86" s="92"/>
      <c r="B86" s="92" t="s">
        <v>75</v>
      </c>
      <c r="C86" s="92">
        <v>2022</v>
      </c>
      <c r="D86" s="105">
        <v>31632</v>
      </c>
      <c r="E86" s="104">
        <v>957319.64</v>
      </c>
      <c r="F86" s="104">
        <v>947378.4</v>
      </c>
      <c r="G86" s="104">
        <v>9941.24</v>
      </c>
      <c r="H86" s="104">
        <v>-924232.5</v>
      </c>
      <c r="I86" s="92"/>
      <c r="J86" s="97"/>
      <c r="K86" s="104">
        <f t="shared" si="10"/>
        <v>33087.140000000014</v>
      </c>
    </row>
    <row r="87" spans="1:11" x14ac:dyDescent="0.25">
      <c r="A87" s="92"/>
      <c r="B87" s="92" t="s">
        <v>76</v>
      </c>
      <c r="C87" s="92">
        <v>2022</v>
      </c>
      <c r="D87" s="105">
        <v>35841</v>
      </c>
      <c r="E87" s="104">
        <v>1163658.5999999999</v>
      </c>
      <c r="F87" s="104">
        <v>1073437.95</v>
      </c>
      <c r="G87" s="104">
        <v>90220.65</v>
      </c>
      <c r="H87" s="104">
        <v>-669341.46</v>
      </c>
      <c r="I87" s="92"/>
      <c r="J87" s="97"/>
      <c r="K87" s="104">
        <f t="shared" si="10"/>
        <v>494317.1399999999</v>
      </c>
    </row>
    <row r="88" spans="1:11" x14ac:dyDescent="0.25">
      <c r="A88" s="92"/>
      <c r="B88" s="92" t="s">
        <v>77</v>
      </c>
      <c r="C88" s="92">
        <v>2022</v>
      </c>
      <c r="D88" s="105">
        <v>52192</v>
      </c>
      <c r="E88" s="104">
        <v>1669860.71</v>
      </c>
      <c r="F88" s="104">
        <v>1563150.4</v>
      </c>
      <c r="G88" s="104">
        <v>106710.31</v>
      </c>
      <c r="H88" s="104">
        <v>-924576.51</v>
      </c>
      <c r="I88" s="92"/>
      <c r="J88" s="97"/>
      <c r="K88" s="106">
        <f t="shared" si="10"/>
        <v>745284.2</v>
      </c>
    </row>
    <row r="89" spans="1:11" ht="15.75" thickBot="1" x14ac:dyDescent="0.3">
      <c r="A89" s="92"/>
      <c r="B89" s="92"/>
      <c r="C89" s="92"/>
      <c r="D89" s="95">
        <f>SUM(D71:D88)</f>
        <v>648098</v>
      </c>
      <c r="E89" s="107">
        <f>SUM(E71:E88)</f>
        <v>19880684.620000001</v>
      </c>
      <c r="F89" s="107">
        <f t="shared" ref="F89:H89" si="11">SUM(F71:F88)</f>
        <v>19410535.099999998</v>
      </c>
      <c r="G89" s="107">
        <f t="shared" si="11"/>
        <v>470149.51999999996</v>
      </c>
      <c r="H89" s="107">
        <f t="shared" si="11"/>
        <v>-12416494.390000002</v>
      </c>
      <c r="I89" s="92"/>
      <c r="J89" s="108"/>
      <c r="K89" s="104">
        <f>SUM(K71:K88)</f>
        <v>7464190.2299999939</v>
      </c>
    </row>
    <row r="90" spans="1:11" ht="15.75" thickTop="1" x14ac:dyDescent="0.25">
      <c r="A90" s="92"/>
      <c r="B90" s="92"/>
      <c r="C90" s="92"/>
      <c r="D90" s="95"/>
      <c r="E90" s="96"/>
      <c r="F90" s="96"/>
      <c r="G90" s="96"/>
      <c r="H90" s="96"/>
      <c r="I90" s="92"/>
      <c r="J90" s="97"/>
      <c r="K90" s="92"/>
    </row>
    <row r="91" spans="1:11" x14ac:dyDescent="0.25">
      <c r="A91" s="92"/>
      <c r="B91" s="92"/>
      <c r="C91" s="92"/>
      <c r="D91" s="95"/>
      <c r="E91" s="96"/>
      <c r="F91" s="96"/>
      <c r="G91" s="96"/>
      <c r="H91" s="96"/>
      <c r="I91" s="92"/>
      <c r="J91" s="97"/>
      <c r="K91" s="92"/>
    </row>
    <row r="92" spans="1:11" x14ac:dyDescent="0.25">
      <c r="A92" s="92" t="s">
        <v>92</v>
      </c>
      <c r="B92" s="92" t="s">
        <v>84</v>
      </c>
      <c r="C92" s="92">
        <v>2021</v>
      </c>
      <c r="D92" s="103">
        <v>34444</v>
      </c>
      <c r="E92" s="96">
        <f t="shared" ref="E92:E98" si="12">F92+G92</f>
        <v>503723.51</v>
      </c>
      <c r="F92" s="96">
        <v>494271.4</v>
      </c>
      <c r="G92" s="96">
        <v>9452.11</v>
      </c>
      <c r="H92" s="96">
        <v>-269475.45000000036</v>
      </c>
      <c r="I92" s="92"/>
      <c r="J92" s="97"/>
      <c r="K92" s="104">
        <f t="shared" ref="K92:K109" si="13">E92+H92</f>
        <v>234248.05999999965</v>
      </c>
    </row>
    <row r="93" spans="1:11" x14ac:dyDescent="0.25">
      <c r="A93" s="92"/>
      <c r="B93" s="92" t="s">
        <v>73</v>
      </c>
      <c r="C93" s="92">
        <v>2021</v>
      </c>
      <c r="D93" s="103">
        <v>31647</v>
      </c>
      <c r="E93" s="96">
        <f t="shared" si="12"/>
        <v>458178.55</v>
      </c>
      <c r="F93" s="96">
        <v>454134.45</v>
      </c>
      <c r="G93" s="96">
        <v>4044.1000000000004</v>
      </c>
      <c r="H93" s="96">
        <v>-625767.06999999855</v>
      </c>
      <c r="I93" s="92"/>
      <c r="J93" s="97"/>
      <c r="K93" s="104">
        <f t="shared" si="13"/>
        <v>-167588.51999999856</v>
      </c>
    </row>
    <row r="94" spans="1:11" x14ac:dyDescent="0.25">
      <c r="A94" s="92"/>
      <c r="B94" s="92" t="s">
        <v>74</v>
      </c>
      <c r="C94" s="92">
        <v>2021</v>
      </c>
      <c r="D94" s="103">
        <v>45096</v>
      </c>
      <c r="E94" s="96">
        <f t="shared" si="12"/>
        <v>649819.21</v>
      </c>
      <c r="F94" s="96">
        <v>647127.6</v>
      </c>
      <c r="G94" s="96">
        <v>2691.6100000000006</v>
      </c>
      <c r="H94" s="96">
        <v>-823461.57999999949</v>
      </c>
      <c r="I94" s="92"/>
      <c r="J94" s="97"/>
      <c r="K94" s="104">
        <f t="shared" si="13"/>
        <v>-173642.36999999953</v>
      </c>
    </row>
    <row r="95" spans="1:11" x14ac:dyDescent="0.25">
      <c r="A95" s="92"/>
      <c r="B95" s="92" t="s">
        <v>75</v>
      </c>
      <c r="C95" s="92">
        <v>2021</v>
      </c>
      <c r="D95" s="103">
        <v>48334</v>
      </c>
      <c r="E95" s="96">
        <f>F95+G95</f>
        <v>710011.05</v>
      </c>
      <c r="F95" s="96">
        <v>693592.9</v>
      </c>
      <c r="G95" s="96">
        <v>16418.150000000001</v>
      </c>
      <c r="H95" s="96">
        <v>-241328.82999999978</v>
      </c>
      <c r="I95" s="92"/>
      <c r="J95" s="97"/>
      <c r="K95" s="104">
        <f t="shared" si="13"/>
        <v>468682.22000000026</v>
      </c>
    </row>
    <row r="96" spans="1:11" x14ac:dyDescent="0.25">
      <c r="A96" s="92"/>
      <c r="B96" s="92" t="s">
        <v>76</v>
      </c>
      <c r="C96" s="92">
        <v>2021</v>
      </c>
      <c r="D96" s="95">
        <v>47638</v>
      </c>
      <c r="E96" s="96">
        <f t="shared" si="12"/>
        <v>692827.27</v>
      </c>
      <c r="F96" s="96">
        <v>683605.3</v>
      </c>
      <c r="G96" s="96">
        <f>2571.16+6650.81</f>
        <v>9221.9700000000012</v>
      </c>
      <c r="H96" s="96">
        <v>-133570.60999999993</v>
      </c>
      <c r="I96" s="92"/>
      <c r="J96" s="97"/>
      <c r="K96" s="104">
        <f t="shared" si="13"/>
        <v>559256.66000000015</v>
      </c>
    </row>
    <row r="97" spans="1:11" x14ac:dyDescent="0.25">
      <c r="A97" s="92"/>
      <c r="B97" s="92" t="s">
        <v>77</v>
      </c>
      <c r="C97" s="92">
        <v>2021</v>
      </c>
      <c r="D97" s="95">
        <v>49453</v>
      </c>
      <c r="E97" s="96">
        <f t="shared" si="12"/>
        <v>715150.55</v>
      </c>
      <c r="F97" s="96">
        <v>709650.55</v>
      </c>
      <c r="G97" s="96">
        <v>5500</v>
      </c>
      <c r="H97" s="96">
        <v>-191104.36000000002</v>
      </c>
      <c r="I97" s="92"/>
      <c r="J97" s="97"/>
      <c r="K97" s="104">
        <f t="shared" si="13"/>
        <v>524046.19000000006</v>
      </c>
    </row>
    <row r="98" spans="1:11" x14ac:dyDescent="0.25">
      <c r="A98" s="92"/>
      <c r="B98" s="92" t="s">
        <v>78</v>
      </c>
      <c r="C98" s="92">
        <v>2021</v>
      </c>
      <c r="D98" s="95">
        <v>56587</v>
      </c>
      <c r="E98" s="96">
        <f t="shared" si="12"/>
        <v>823559.81999999902</v>
      </c>
      <c r="F98" s="96">
        <v>812023.44999999902</v>
      </c>
      <c r="G98" s="96">
        <v>11536.37</v>
      </c>
      <c r="H98" s="96">
        <v>99572.480000000331</v>
      </c>
      <c r="I98" s="92"/>
      <c r="J98" s="97"/>
      <c r="K98" s="104">
        <f t="shared" si="13"/>
        <v>923132.29999999935</v>
      </c>
    </row>
    <row r="99" spans="1:11" x14ac:dyDescent="0.25">
      <c r="A99" s="92"/>
      <c r="B99" s="92" t="s">
        <v>79</v>
      </c>
      <c r="C99" s="92">
        <v>2022</v>
      </c>
      <c r="D99" s="105">
        <v>52652</v>
      </c>
      <c r="E99" s="104">
        <v>754817.53999999992</v>
      </c>
      <c r="F99" s="104">
        <v>755556.2</v>
      </c>
      <c r="G99" s="104">
        <v>-738.65999999999985</v>
      </c>
      <c r="H99" s="104">
        <v>-15239.870000000141</v>
      </c>
      <c r="I99" s="92"/>
      <c r="J99" s="97"/>
      <c r="K99" s="104">
        <f t="shared" si="13"/>
        <v>739577.66999999981</v>
      </c>
    </row>
    <row r="100" spans="1:11" x14ac:dyDescent="0.25">
      <c r="A100" s="92"/>
      <c r="B100" s="92" t="s">
        <v>80</v>
      </c>
      <c r="C100" s="92">
        <v>2022</v>
      </c>
      <c r="D100" s="105">
        <v>52161</v>
      </c>
      <c r="E100" s="104">
        <v>746378.76000000094</v>
      </c>
      <c r="F100" s="104">
        <v>748510.35000000091</v>
      </c>
      <c r="G100" s="104">
        <v>-2131.59</v>
      </c>
      <c r="H100" s="104">
        <v>-44450.320000000262</v>
      </c>
      <c r="I100" s="92"/>
      <c r="J100" s="97"/>
      <c r="K100" s="104">
        <f t="shared" si="13"/>
        <v>701928.44000000064</v>
      </c>
    </row>
    <row r="101" spans="1:11" x14ac:dyDescent="0.25">
      <c r="A101" s="92"/>
      <c r="B101" s="92" t="s">
        <v>81</v>
      </c>
      <c r="C101" s="92">
        <v>2022</v>
      </c>
      <c r="D101" s="105">
        <v>59547</v>
      </c>
      <c r="E101" s="104">
        <v>855951.61999999906</v>
      </c>
      <c r="F101" s="104">
        <v>854499.44999999902</v>
      </c>
      <c r="G101" s="104">
        <v>1452.17</v>
      </c>
      <c r="H101" s="104">
        <v>202701.30000000048</v>
      </c>
      <c r="I101" s="92"/>
      <c r="J101" s="97"/>
      <c r="K101" s="104">
        <f t="shared" si="13"/>
        <v>1058652.9199999995</v>
      </c>
    </row>
    <row r="102" spans="1:11" x14ac:dyDescent="0.25">
      <c r="A102" s="92"/>
      <c r="B102" s="92" t="s">
        <v>82</v>
      </c>
      <c r="C102" s="92">
        <v>2022</v>
      </c>
      <c r="D102" s="105">
        <v>65205</v>
      </c>
      <c r="E102" s="104">
        <v>1040455.6400000009</v>
      </c>
      <c r="F102" s="104">
        <v>935691.75000000093</v>
      </c>
      <c r="G102" s="104">
        <v>104763.89</v>
      </c>
      <c r="H102" s="104">
        <v>536674.95999999985</v>
      </c>
      <c r="I102" s="92"/>
      <c r="J102" s="97"/>
      <c r="K102" s="104">
        <f t="shared" si="13"/>
        <v>1577130.6000000008</v>
      </c>
    </row>
    <row r="103" spans="1:11" x14ac:dyDescent="0.25">
      <c r="A103" s="92"/>
      <c r="B103" s="92" t="s">
        <v>83</v>
      </c>
      <c r="C103" s="92">
        <v>2022</v>
      </c>
      <c r="D103" s="105">
        <v>59683</v>
      </c>
      <c r="E103" s="104">
        <v>813669.02999999898</v>
      </c>
      <c r="F103" s="104">
        <v>856451.049999999</v>
      </c>
      <c r="G103" s="104">
        <v>-42782.02</v>
      </c>
      <c r="H103" s="104">
        <v>-677558.57000000018</v>
      </c>
      <c r="I103" s="92"/>
      <c r="J103" s="97"/>
      <c r="K103" s="104">
        <f t="shared" si="13"/>
        <v>136110.4599999988</v>
      </c>
    </row>
    <row r="104" spans="1:11" x14ac:dyDescent="0.25">
      <c r="A104" s="92"/>
      <c r="B104" s="92" t="s">
        <v>84</v>
      </c>
      <c r="C104" s="92">
        <v>2022</v>
      </c>
      <c r="D104" s="105">
        <v>47072</v>
      </c>
      <c r="E104" s="104">
        <v>676673.77000000095</v>
      </c>
      <c r="F104" s="104">
        <v>675483.200000001</v>
      </c>
      <c r="G104" s="104">
        <v>1190.5700000000002</v>
      </c>
      <c r="H104" s="104">
        <v>-1037231.820000001</v>
      </c>
      <c r="I104" s="92"/>
      <c r="J104" s="97"/>
      <c r="K104" s="104">
        <f t="shared" si="13"/>
        <v>-360558.05000000005</v>
      </c>
    </row>
    <row r="105" spans="1:11" x14ac:dyDescent="0.25">
      <c r="A105" s="92"/>
      <c r="B105" s="92" t="s">
        <v>73</v>
      </c>
      <c r="C105" s="92">
        <v>2022</v>
      </c>
      <c r="D105" s="105">
        <v>35132</v>
      </c>
      <c r="E105" s="104">
        <v>540680.80000000005</v>
      </c>
      <c r="F105" s="104">
        <v>504144.2</v>
      </c>
      <c r="G105" s="104">
        <v>36536.6</v>
      </c>
      <c r="H105" s="104">
        <v>-1289921.18</v>
      </c>
      <c r="I105" s="92"/>
      <c r="J105" s="97"/>
      <c r="K105" s="104">
        <f t="shared" si="13"/>
        <v>-749240.37999999989</v>
      </c>
    </row>
    <row r="106" spans="1:11" x14ac:dyDescent="0.25">
      <c r="A106" s="92"/>
      <c r="B106" s="92" t="s">
        <v>74</v>
      </c>
      <c r="C106" s="92">
        <v>2022</v>
      </c>
      <c r="D106" s="105">
        <v>30581</v>
      </c>
      <c r="E106" s="104">
        <v>455616.5</v>
      </c>
      <c r="F106" s="104">
        <v>438837.35</v>
      </c>
      <c r="G106" s="104">
        <v>16779.150000000001</v>
      </c>
      <c r="H106" s="104">
        <v>-1502477.02</v>
      </c>
      <c r="I106" s="92"/>
      <c r="J106" s="97"/>
      <c r="K106" s="104">
        <f t="shared" si="13"/>
        <v>-1046860.52</v>
      </c>
    </row>
    <row r="107" spans="1:11" x14ac:dyDescent="0.25">
      <c r="A107" s="92"/>
      <c r="B107" s="92" t="s">
        <v>75</v>
      </c>
      <c r="C107" s="92">
        <v>2022</v>
      </c>
      <c r="D107" s="105">
        <v>43625</v>
      </c>
      <c r="E107" s="104">
        <v>617198.98</v>
      </c>
      <c r="F107" s="104">
        <v>626018.75</v>
      </c>
      <c r="G107" s="104">
        <v>-8819.77</v>
      </c>
      <c r="H107" s="104">
        <v>-914509.18</v>
      </c>
      <c r="I107" s="92"/>
      <c r="J107" s="97"/>
      <c r="K107" s="104">
        <f t="shared" si="13"/>
        <v>-297310.20000000007</v>
      </c>
    </row>
    <row r="108" spans="1:11" x14ac:dyDescent="0.25">
      <c r="A108" s="92"/>
      <c r="B108" s="92" t="s">
        <v>76</v>
      </c>
      <c r="C108" s="92">
        <v>2022</v>
      </c>
      <c r="D108" s="105">
        <v>36878</v>
      </c>
      <c r="E108" s="104">
        <v>538476.75</v>
      </c>
      <c r="F108" s="104">
        <v>529199.30000000005</v>
      </c>
      <c r="G108" s="104">
        <v>9277.4500000000007</v>
      </c>
      <c r="H108" s="104">
        <v>-420434.25</v>
      </c>
      <c r="I108" s="92"/>
      <c r="J108" s="97"/>
      <c r="K108" s="104">
        <f t="shared" si="13"/>
        <v>118042.5</v>
      </c>
    </row>
    <row r="109" spans="1:11" x14ac:dyDescent="0.25">
      <c r="A109" s="92"/>
      <c r="B109" s="92" t="s">
        <v>77</v>
      </c>
      <c r="C109" s="92">
        <v>2022</v>
      </c>
      <c r="D109" s="105">
        <v>58026</v>
      </c>
      <c r="E109" s="104">
        <v>960000.23</v>
      </c>
      <c r="F109" s="104">
        <v>832673.1</v>
      </c>
      <c r="G109" s="104">
        <v>127327.13</v>
      </c>
      <c r="H109" s="104">
        <v>896.31</v>
      </c>
      <c r="I109" s="92"/>
      <c r="J109" s="97"/>
      <c r="K109" s="106">
        <f t="shared" si="13"/>
        <v>960896.54</v>
      </c>
    </row>
    <row r="110" spans="1:11" ht="15.75" thickBot="1" x14ac:dyDescent="0.3">
      <c r="A110" s="92"/>
      <c r="B110" s="92"/>
      <c r="C110" s="92"/>
      <c r="D110" s="95">
        <f>SUM(D92:D109)</f>
        <v>853761</v>
      </c>
      <c r="E110" s="107">
        <f>SUM(E92:E109)</f>
        <v>12553189.580000002</v>
      </c>
      <c r="F110" s="107">
        <f t="shared" ref="F110:H110" si="14">SUM(F92:F109)</f>
        <v>12251470.35</v>
      </c>
      <c r="G110" s="107">
        <f t="shared" si="14"/>
        <v>301719.23000000004</v>
      </c>
      <c r="H110" s="107">
        <f t="shared" si="14"/>
        <v>-7346685.0599999996</v>
      </c>
      <c r="I110" s="92"/>
      <c r="J110" s="108"/>
      <c r="K110" s="104">
        <f>SUM(K92:K109)</f>
        <v>5206504.5200000014</v>
      </c>
    </row>
    <row r="111" spans="1:11" ht="15.75" thickTop="1" x14ac:dyDescent="0.25">
      <c r="A111" s="92"/>
      <c r="B111" s="92"/>
      <c r="C111" s="92"/>
      <c r="D111" s="103"/>
      <c r="E111" s="101"/>
      <c r="F111" s="109"/>
      <c r="G111" s="109"/>
      <c r="H111" s="109"/>
      <c r="I111" s="92"/>
      <c r="J111" s="97"/>
      <c r="K111" s="92"/>
    </row>
    <row r="112" spans="1:11" x14ac:dyDescent="0.25">
      <c r="A112" s="92" t="s">
        <v>93</v>
      </c>
      <c r="B112" s="92" t="s">
        <v>84</v>
      </c>
      <c r="C112" s="92">
        <v>2021</v>
      </c>
      <c r="D112" s="103">
        <v>17273</v>
      </c>
      <c r="E112" s="96">
        <f t="shared" ref="E112:E118" si="15">F112+G112</f>
        <v>254776.75</v>
      </c>
      <c r="F112" s="96">
        <v>254776.75</v>
      </c>
      <c r="G112" s="96">
        <v>0</v>
      </c>
      <c r="H112" s="96">
        <v>-307412.83999999991</v>
      </c>
      <c r="I112" s="92"/>
      <c r="J112" s="97"/>
      <c r="K112" s="104">
        <f t="shared" ref="K112:K129" si="16">E112+H112</f>
        <v>-52636.089999999909</v>
      </c>
    </row>
    <row r="113" spans="1:11" x14ac:dyDescent="0.25">
      <c r="A113" s="92"/>
      <c r="B113" s="92" t="s">
        <v>73</v>
      </c>
      <c r="C113" s="92">
        <v>2021</v>
      </c>
      <c r="D113" s="103">
        <v>10677</v>
      </c>
      <c r="E113" s="96">
        <f t="shared" si="15"/>
        <v>192410.84</v>
      </c>
      <c r="F113" s="96">
        <v>157485.75</v>
      </c>
      <c r="G113" s="96">
        <v>34925.089999999997</v>
      </c>
      <c r="H113" s="96">
        <v>-262653.00000000006</v>
      </c>
      <c r="I113" s="92"/>
      <c r="J113" s="97"/>
      <c r="K113" s="104">
        <f t="shared" si="16"/>
        <v>-70242.160000000062</v>
      </c>
    </row>
    <row r="114" spans="1:11" x14ac:dyDescent="0.25">
      <c r="A114" s="92"/>
      <c r="B114" s="92" t="s">
        <v>74</v>
      </c>
      <c r="C114" s="92">
        <v>2021</v>
      </c>
      <c r="D114" s="103">
        <v>23474</v>
      </c>
      <c r="E114" s="96">
        <f t="shared" si="15"/>
        <v>348753.48</v>
      </c>
      <c r="F114" s="96">
        <v>346241.5</v>
      </c>
      <c r="G114" s="96">
        <v>2511.98</v>
      </c>
      <c r="H114" s="96">
        <v>-512928.43999999948</v>
      </c>
      <c r="I114" s="92"/>
      <c r="J114" s="97"/>
      <c r="K114" s="104">
        <f t="shared" si="16"/>
        <v>-164174.9599999995</v>
      </c>
    </row>
    <row r="115" spans="1:11" x14ac:dyDescent="0.25">
      <c r="A115" s="92"/>
      <c r="B115" s="92" t="s">
        <v>75</v>
      </c>
      <c r="C115" s="92">
        <v>2021</v>
      </c>
      <c r="D115" s="103">
        <v>27439</v>
      </c>
      <c r="E115" s="96">
        <f>F115+G115</f>
        <v>430329.38</v>
      </c>
      <c r="F115" s="96">
        <v>404725.25</v>
      </c>
      <c r="G115" s="96">
        <v>25604.13</v>
      </c>
      <c r="H115" s="96">
        <v>-737557.95999999973</v>
      </c>
      <c r="I115" s="92"/>
      <c r="J115" s="97"/>
      <c r="K115" s="104">
        <f t="shared" si="16"/>
        <v>-307228.57999999973</v>
      </c>
    </row>
    <row r="116" spans="1:11" x14ac:dyDescent="0.25">
      <c r="A116" s="92"/>
      <c r="B116" s="92" t="s">
        <v>76</v>
      </c>
      <c r="C116" s="92">
        <v>2021</v>
      </c>
      <c r="D116" s="95">
        <v>30391</v>
      </c>
      <c r="E116" s="96">
        <f t="shared" si="15"/>
        <v>486220.65</v>
      </c>
      <c r="F116" s="96">
        <v>448267.25</v>
      </c>
      <c r="G116" s="96">
        <f>37135.61+817.79</f>
        <v>37953.4</v>
      </c>
      <c r="H116" s="96">
        <v>-1145179.0699999987</v>
      </c>
      <c r="I116" s="92"/>
      <c r="J116" s="97"/>
      <c r="K116" s="104">
        <f t="shared" si="16"/>
        <v>-658958.41999999864</v>
      </c>
    </row>
    <row r="117" spans="1:11" x14ac:dyDescent="0.25">
      <c r="A117" s="92"/>
      <c r="B117" s="92" t="s">
        <v>77</v>
      </c>
      <c r="C117" s="92">
        <v>2021</v>
      </c>
      <c r="D117" s="95">
        <v>33946</v>
      </c>
      <c r="E117" s="96">
        <f t="shared" si="15"/>
        <v>500703.5</v>
      </c>
      <c r="F117" s="96">
        <v>500703.5</v>
      </c>
      <c r="G117" s="96">
        <v>0</v>
      </c>
      <c r="H117" s="96">
        <v>-663062.33000000031</v>
      </c>
      <c r="I117" s="92"/>
      <c r="J117" s="97"/>
      <c r="K117" s="104">
        <f t="shared" si="16"/>
        <v>-162358.83000000031</v>
      </c>
    </row>
    <row r="118" spans="1:11" x14ac:dyDescent="0.25">
      <c r="A118" s="92"/>
      <c r="B118" s="92" t="s">
        <v>78</v>
      </c>
      <c r="C118" s="92">
        <v>2021</v>
      </c>
      <c r="D118" s="95">
        <v>33705</v>
      </c>
      <c r="E118" s="96">
        <f t="shared" si="15"/>
        <v>727638.3</v>
      </c>
      <c r="F118" s="96">
        <v>497148.75</v>
      </c>
      <c r="G118" s="96">
        <v>230489.55</v>
      </c>
      <c r="H118" s="96">
        <v>-39014.87999999999</v>
      </c>
      <c r="I118" s="92"/>
      <c r="J118" s="97"/>
      <c r="K118" s="104">
        <f t="shared" si="16"/>
        <v>688623.42</v>
      </c>
    </row>
    <row r="119" spans="1:11" x14ac:dyDescent="0.25">
      <c r="A119" s="92"/>
      <c r="B119" s="92" t="s">
        <v>79</v>
      </c>
      <c r="C119" s="92">
        <v>2022</v>
      </c>
      <c r="D119" s="105">
        <v>26423</v>
      </c>
      <c r="E119" s="104">
        <v>567898.02</v>
      </c>
      <c r="F119" s="104">
        <v>389739.25</v>
      </c>
      <c r="G119" s="104">
        <v>178158.77</v>
      </c>
      <c r="H119" s="104">
        <v>9429.0400000002119</v>
      </c>
      <c r="I119" s="92"/>
      <c r="J119" s="97"/>
      <c r="K119" s="104">
        <f t="shared" si="16"/>
        <v>577327.06000000029</v>
      </c>
    </row>
    <row r="120" spans="1:11" x14ac:dyDescent="0.25">
      <c r="A120" s="92"/>
      <c r="B120" s="92" t="s">
        <v>80</v>
      </c>
      <c r="C120" s="92">
        <v>2022</v>
      </c>
      <c r="D120" s="105">
        <v>30051</v>
      </c>
      <c r="E120" s="104">
        <v>639634.57000000007</v>
      </c>
      <c r="F120" s="104">
        <v>443252.25</v>
      </c>
      <c r="G120" s="104">
        <v>196382.32</v>
      </c>
      <c r="H120" s="104">
        <v>27894.589999999931</v>
      </c>
      <c r="I120" s="92"/>
      <c r="J120" s="97"/>
      <c r="K120" s="104">
        <f t="shared" si="16"/>
        <v>667529.16</v>
      </c>
    </row>
    <row r="121" spans="1:11" x14ac:dyDescent="0.25">
      <c r="A121" s="92"/>
      <c r="B121" s="92" t="s">
        <v>81</v>
      </c>
      <c r="C121" s="92">
        <v>2022</v>
      </c>
      <c r="D121" s="105">
        <v>32320</v>
      </c>
      <c r="E121" s="104">
        <v>812582.07000000007</v>
      </c>
      <c r="F121" s="104">
        <v>476720</v>
      </c>
      <c r="G121" s="104">
        <v>335862.07</v>
      </c>
      <c r="H121" s="104">
        <v>124049.4200000001</v>
      </c>
      <c r="I121" s="110"/>
      <c r="J121" s="97"/>
      <c r="K121" s="104">
        <f t="shared" si="16"/>
        <v>936631.49000000022</v>
      </c>
    </row>
    <row r="122" spans="1:11" x14ac:dyDescent="0.25">
      <c r="A122" s="92"/>
      <c r="B122" s="92" t="s">
        <v>82</v>
      </c>
      <c r="C122" s="92">
        <v>2022</v>
      </c>
      <c r="D122" s="105">
        <v>33217</v>
      </c>
      <c r="E122" s="104">
        <v>581040.9</v>
      </c>
      <c r="F122" s="104">
        <v>489950.75</v>
      </c>
      <c r="G122" s="104">
        <v>91090.15</v>
      </c>
      <c r="H122" s="104">
        <v>131087.47000000006</v>
      </c>
      <c r="I122" s="92"/>
      <c r="J122" s="97"/>
      <c r="K122" s="104">
        <f t="shared" si="16"/>
        <v>712128.37000000011</v>
      </c>
    </row>
    <row r="123" spans="1:11" x14ac:dyDescent="0.25">
      <c r="A123" s="92"/>
      <c r="B123" s="92" t="s">
        <v>83</v>
      </c>
      <c r="C123" s="92">
        <v>2022</v>
      </c>
      <c r="D123" s="105">
        <v>31609</v>
      </c>
      <c r="E123" s="104">
        <v>685806.13</v>
      </c>
      <c r="F123" s="104">
        <v>466232.75</v>
      </c>
      <c r="G123" s="104">
        <v>219573.38</v>
      </c>
      <c r="H123" s="104">
        <v>-510352.83000000013</v>
      </c>
      <c r="I123" s="92"/>
      <c r="J123" s="97"/>
      <c r="K123" s="104">
        <f t="shared" si="16"/>
        <v>175453.29999999987</v>
      </c>
    </row>
    <row r="124" spans="1:11" x14ac:dyDescent="0.25">
      <c r="A124" s="92"/>
      <c r="B124" s="92" t="s">
        <v>84</v>
      </c>
      <c r="C124" s="92">
        <v>2022</v>
      </c>
      <c r="D124" s="105">
        <v>24581</v>
      </c>
      <c r="E124" s="104">
        <v>435723.82</v>
      </c>
      <c r="F124" s="104">
        <v>362569.75</v>
      </c>
      <c r="G124" s="104">
        <v>73154.070000000007</v>
      </c>
      <c r="H124" s="104">
        <v>-702926.35999999929</v>
      </c>
      <c r="I124" s="92"/>
      <c r="J124" s="97"/>
      <c r="K124" s="104">
        <f t="shared" si="16"/>
        <v>-267202.53999999928</v>
      </c>
    </row>
    <row r="125" spans="1:11" x14ac:dyDescent="0.25">
      <c r="A125" s="92"/>
      <c r="B125" s="92" t="s">
        <v>73</v>
      </c>
      <c r="C125" s="92">
        <v>2022</v>
      </c>
      <c r="D125" s="105">
        <v>23459</v>
      </c>
      <c r="E125" s="104">
        <v>356591.98</v>
      </c>
      <c r="F125" s="104">
        <v>346020.25</v>
      </c>
      <c r="G125" s="104">
        <v>10571.73</v>
      </c>
      <c r="H125" s="104">
        <v>-1026981.18</v>
      </c>
      <c r="I125" s="92"/>
      <c r="J125" s="97"/>
      <c r="K125" s="104">
        <f t="shared" si="16"/>
        <v>-670389.20000000007</v>
      </c>
    </row>
    <row r="126" spans="1:11" x14ac:dyDescent="0.25">
      <c r="A126" s="92"/>
      <c r="B126" s="92" t="s">
        <v>74</v>
      </c>
      <c r="C126" s="92">
        <v>2022</v>
      </c>
      <c r="D126" s="105">
        <v>21975</v>
      </c>
      <c r="E126" s="104">
        <v>328477.08</v>
      </c>
      <c r="F126" s="104">
        <v>324131.25</v>
      </c>
      <c r="G126" s="104">
        <v>4345.83</v>
      </c>
      <c r="H126" s="104">
        <v>-1218933.42</v>
      </c>
      <c r="I126" s="92"/>
      <c r="J126" s="97"/>
      <c r="K126" s="104">
        <f t="shared" si="16"/>
        <v>-890456.33999999985</v>
      </c>
    </row>
    <row r="127" spans="1:11" x14ac:dyDescent="0.25">
      <c r="A127" s="92"/>
      <c r="B127" s="92" t="s">
        <v>75</v>
      </c>
      <c r="C127" s="92">
        <v>2022</v>
      </c>
      <c r="D127" s="105">
        <v>26016</v>
      </c>
      <c r="E127" s="104">
        <v>433958</v>
      </c>
      <c r="F127" s="104">
        <v>383736</v>
      </c>
      <c r="G127" s="104">
        <v>50222</v>
      </c>
      <c r="H127" s="104">
        <v>-660038.41</v>
      </c>
      <c r="I127" s="92"/>
      <c r="J127" s="97"/>
      <c r="K127" s="104">
        <f t="shared" si="16"/>
        <v>-226080.41000000003</v>
      </c>
    </row>
    <row r="128" spans="1:11" x14ac:dyDescent="0.25">
      <c r="A128" s="92"/>
      <c r="B128" s="92" t="s">
        <v>76</v>
      </c>
      <c r="C128" s="92">
        <v>2022</v>
      </c>
      <c r="D128" s="105">
        <v>27470</v>
      </c>
      <c r="E128" s="104">
        <v>602660.56000000006</v>
      </c>
      <c r="F128" s="104">
        <v>405182.5</v>
      </c>
      <c r="G128" s="104">
        <v>197478.06</v>
      </c>
      <c r="H128" s="104">
        <v>-666325.29</v>
      </c>
      <c r="I128" s="92"/>
      <c r="J128" s="97"/>
      <c r="K128" s="104">
        <f t="shared" si="16"/>
        <v>-63664.729999999981</v>
      </c>
    </row>
    <row r="129" spans="1:11" x14ac:dyDescent="0.25">
      <c r="A129" s="92"/>
      <c r="B129" s="92" t="s">
        <v>77</v>
      </c>
      <c r="C129" s="92">
        <v>2022</v>
      </c>
      <c r="D129" s="105">
        <v>38153</v>
      </c>
      <c r="E129" s="104">
        <v>616710.75</v>
      </c>
      <c r="F129" s="104">
        <v>562756.75</v>
      </c>
      <c r="G129" s="104">
        <v>53954</v>
      </c>
      <c r="H129" s="104">
        <v>-681155.22</v>
      </c>
      <c r="I129" s="92"/>
      <c r="J129" s="97"/>
      <c r="K129" s="106">
        <f t="shared" si="16"/>
        <v>-64444.469999999972</v>
      </c>
    </row>
    <row r="130" spans="1:11" ht="15.75" thickBot="1" x14ac:dyDescent="0.3">
      <c r="A130" s="92"/>
      <c r="B130" s="92"/>
      <c r="C130" s="92"/>
      <c r="D130" s="95">
        <f>SUM(D112:D129)</f>
        <v>492179</v>
      </c>
      <c r="E130" s="107">
        <f>SUM(E112:E129)</f>
        <v>9001916.7800000012</v>
      </c>
      <c r="F130" s="107">
        <f t="shared" ref="F130:H130" si="17">SUM(F112:F129)</f>
        <v>7259640.25</v>
      </c>
      <c r="G130" s="107">
        <f t="shared" si="17"/>
        <v>1742276.53</v>
      </c>
      <c r="H130" s="107">
        <f t="shared" si="17"/>
        <v>-8842060.7099999972</v>
      </c>
      <c r="I130" s="92"/>
      <c r="J130" s="108"/>
      <c r="K130" s="104">
        <f>SUM(K112:K129)</f>
        <v>159856.07000000344</v>
      </c>
    </row>
    <row r="131" spans="1:11" ht="15.75" thickTop="1" x14ac:dyDescent="0.25">
      <c r="A131" s="92"/>
      <c r="B131" s="92"/>
      <c r="C131" s="92"/>
      <c r="D131" s="103"/>
      <c r="E131" s="109"/>
      <c r="F131" s="109"/>
      <c r="G131" s="109"/>
      <c r="H131" s="109"/>
      <c r="I131" s="92"/>
      <c r="J131" s="97"/>
      <c r="K131" s="92"/>
    </row>
    <row r="132" spans="1:11" x14ac:dyDescent="0.25">
      <c r="A132" s="92"/>
      <c r="B132" s="92"/>
      <c r="C132" s="92"/>
      <c r="D132" s="103"/>
      <c r="E132" s="109"/>
      <c r="F132" s="109"/>
      <c r="G132" s="109"/>
      <c r="H132" s="109"/>
      <c r="I132" s="92"/>
      <c r="J132" s="97"/>
      <c r="K132" s="92"/>
    </row>
    <row r="133" spans="1:11" x14ac:dyDescent="0.25">
      <c r="A133" s="92" t="s">
        <v>8</v>
      </c>
      <c r="B133" s="92" t="s">
        <v>84</v>
      </c>
      <c r="C133" s="92">
        <v>2021</v>
      </c>
      <c r="D133" s="103">
        <f>D8+D29+D50+D71+D92+D112</f>
        <v>142981</v>
      </c>
      <c r="E133" s="96">
        <f t="shared" ref="E133:H133" si="18">E8+E29+E50+E71+E92+E112</f>
        <v>3028232.9500000011</v>
      </c>
      <c r="F133" s="109">
        <f t="shared" si="18"/>
        <v>3243861.1400000011</v>
      </c>
      <c r="G133" s="109">
        <f t="shared" si="18"/>
        <v>-215628.19</v>
      </c>
      <c r="H133" s="109">
        <f t="shared" si="18"/>
        <v>-1662498.9700000104</v>
      </c>
      <c r="I133" s="92"/>
      <c r="J133" s="97"/>
      <c r="K133" s="109">
        <f>E133+H133</f>
        <v>1365733.9799999907</v>
      </c>
    </row>
    <row r="134" spans="1:11" x14ac:dyDescent="0.25">
      <c r="A134" s="92"/>
      <c r="B134" s="92" t="s">
        <v>73</v>
      </c>
      <c r="C134" s="92">
        <v>2021</v>
      </c>
      <c r="D134" s="103">
        <v>33147.01</v>
      </c>
      <c r="E134" s="96">
        <f t="shared" ref="E134:H134" si="19">E9+E30+E51+E72+E93+E113</f>
        <v>2619326.4299999997</v>
      </c>
      <c r="F134" s="109">
        <f t="shared" si="19"/>
        <v>2708910.66</v>
      </c>
      <c r="G134" s="109">
        <f t="shared" si="19"/>
        <v>-89584.23</v>
      </c>
      <c r="H134" s="109">
        <f t="shared" si="19"/>
        <v>-2492527.2099999976</v>
      </c>
      <c r="I134" s="92"/>
      <c r="J134" s="97"/>
      <c r="K134" s="109">
        <f t="shared" ref="K134:K150" si="20">E134+H134</f>
        <v>126799.22000000207</v>
      </c>
    </row>
    <row r="135" spans="1:11" x14ac:dyDescent="0.25">
      <c r="A135" s="92"/>
      <c r="B135" s="92" t="s">
        <v>74</v>
      </c>
      <c r="C135" s="92">
        <v>2021</v>
      </c>
      <c r="D135" s="103">
        <v>43348.67</v>
      </c>
      <c r="E135" s="96">
        <f t="shared" ref="E135:H135" si="21">E10+E31+E52+E73+E94+E114</f>
        <v>4033406.9099999983</v>
      </c>
      <c r="F135" s="109">
        <f t="shared" si="21"/>
        <v>4067751.5499999984</v>
      </c>
      <c r="G135" s="109">
        <f t="shared" si="21"/>
        <v>-34344.640000000007</v>
      </c>
      <c r="H135" s="109">
        <f t="shared" si="21"/>
        <v>-3289407.6599999983</v>
      </c>
      <c r="I135" s="92"/>
      <c r="J135" s="97"/>
      <c r="K135" s="109">
        <f t="shared" si="20"/>
        <v>743999.25</v>
      </c>
    </row>
    <row r="136" spans="1:11" x14ac:dyDescent="0.25">
      <c r="A136" s="92"/>
      <c r="B136" s="92" t="s">
        <v>75</v>
      </c>
      <c r="C136" s="92">
        <v>2021</v>
      </c>
      <c r="D136" s="103">
        <v>48298.84</v>
      </c>
      <c r="E136" s="96">
        <f t="shared" ref="E136:H136" si="22">E11+E32+E53+E74+E95+E115</f>
        <v>4249035.03</v>
      </c>
      <c r="F136" s="109">
        <f t="shared" si="22"/>
        <v>4297293.05</v>
      </c>
      <c r="G136" s="109">
        <f t="shared" si="22"/>
        <v>-48258.01999999999</v>
      </c>
      <c r="H136" s="109">
        <f t="shared" si="22"/>
        <v>-1783877.3500000937</v>
      </c>
      <c r="I136" s="92"/>
      <c r="J136" s="97"/>
      <c r="K136" s="109">
        <f t="shared" si="20"/>
        <v>2465157.6799999066</v>
      </c>
    </row>
    <row r="137" spans="1:11" x14ac:dyDescent="0.25">
      <c r="A137" s="92"/>
      <c r="B137" s="92" t="s">
        <v>76</v>
      </c>
      <c r="C137" s="92">
        <v>2021</v>
      </c>
      <c r="D137" s="103">
        <v>40196.79</v>
      </c>
      <c r="E137" s="96">
        <f t="shared" ref="E137:H137" si="23">E12+E33+E54+E75+E96+E116</f>
        <v>3443184.54</v>
      </c>
      <c r="F137" s="109">
        <f t="shared" si="23"/>
        <v>4042723.2199999997</v>
      </c>
      <c r="G137" s="109">
        <f t="shared" si="23"/>
        <v>-599538.67999999993</v>
      </c>
      <c r="H137" s="109">
        <f t="shared" si="23"/>
        <v>-2068960.2000002468</v>
      </c>
      <c r="I137" s="92"/>
      <c r="J137" s="97"/>
      <c r="K137" s="109">
        <f t="shared" si="20"/>
        <v>1374224.3399997533</v>
      </c>
    </row>
    <row r="138" spans="1:11" x14ac:dyDescent="0.25">
      <c r="A138" s="92"/>
      <c r="B138" s="92" t="s">
        <v>77</v>
      </c>
      <c r="C138" s="92">
        <v>2021</v>
      </c>
      <c r="D138" s="103">
        <v>37942.924000000006</v>
      </c>
      <c r="E138" s="96">
        <f t="shared" ref="E138:H138" si="24">E13+E34+E55+E76+E97+E117</f>
        <v>4775928.8499999996</v>
      </c>
      <c r="F138" s="109">
        <f t="shared" si="24"/>
        <v>4538428.8499999996</v>
      </c>
      <c r="G138" s="109">
        <f t="shared" si="24"/>
        <v>237500</v>
      </c>
      <c r="H138" s="109">
        <f t="shared" si="24"/>
        <v>-1964298.2500000007</v>
      </c>
      <c r="I138" s="92"/>
      <c r="J138" s="97"/>
      <c r="K138" s="109">
        <f t="shared" si="20"/>
        <v>2811630.5999999987</v>
      </c>
    </row>
    <row r="139" spans="1:11" x14ac:dyDescent="0.25">
      <c r="A139" s="92"/>
      <c r="B139" s="92" t="s">
        <v>78</v>
      </c>
      <c r="C139" s="92">
        <v>2021</v>
      </c>
      <c r="D139" s="95">
        <v>45393.985000000001</v>
      </c>
      <c r="E139" s="96">
        <f t="shared" ref="E139:H139" si="25">E14+E35+E56+E77+E98+E118</f>
        <v>5141452.5199999977</v>
      </c>
      <c r="F139" s="109">
        <f t="shared" si="25"/>
        <v>5226081.5099999979</v>
      </c>
      <c r="G139" s="109">
        <f t="shared" si="25"/>
        <v>-84628.989999999932</v>
      </c>
      <c r="H139" s="109">
        <f t="shared" si="25"/>
        <v>-469958.57000000053</v>
      </c>
      <c r="I139" s="92"/>
      <c r="J139" s="97"/>
      <c r="K139" s="109">
        <f t="shared" si="20"/>
        <v>4671493.9499999974</v>
      </c>
    </row>
    <row r="140" spans="1:11" x14ac:dyDescent="0.25">
      <c r="A140" s="92"/>
      <c r="B140" s="92" t="s">
        <v>79</v>
      </c>
      <c r="C140" s="92">
        <v>2022</v>
      </c>
      <c r="D140" s="105">
        <v>45603.169000000002</v>
      </c>
      <c r="E140" s="96">
        <f t="shared" ref="E140:H140" si="26">E15+E36+E57+E78+E99+E119</f>
        <v>4412847.18</v>
      </c>
      <c r="F140" s="109">
        <f t="shared" si="26"/>
        <v>4654704.8499999987</v>
      </c>
      <c r="G140" s="109">
        <f t="shared" si="26"/>
        <v>-241857.66999999995</v>
      </c>
      <c r="H140" s="109">
        <f t="shared" si="26"/>
        <v>-1285139.5700000019</v>
      </c>
      <c r="I140" s="92"/>
      <c r="J140" s="97"/>
      <c r="K140" s="109">
        <f t="shared" si="20"/>
        <v>3127707.6099999975</v>
      </c>
    </row>
    <row r="141" spans="1:11" x14ac:dyDescent="0.25">
      <c r="A141" s="92"/>
      <c r="B141" s="92" t="s">
        <v>80</v>
      </c>
      <c r="C141" s="92">
        <v>2022</v>
      </c>
      <c r="D141" s="105">
        <v>46841.78</v>
      </c>
      <c r="E141" s="96">
        <f t="shared" ref="E141:H141" si="27">E16+E37+E58+E79+E100+E120</f>
        <v>5008291.7600000026</v>
      </c>
      <c r="F141" s="109">
        <f t="shared" si="27"/>
        <v>5030524.740000003</v>
      </c>
      <c r="G141" s="109">
        <f t="shared" si="27"/>
        <v>-22232.98000000004</v>
      </c>
      <c r="H141" s="109">
        <f t="shared" si="27"/>
        <v>-912198.38000000024</v>
      </c>
      <c r="I141" s="92"/>
      <c r="J141" s="97"/>
      <c r="K141" s="109">
        <f t="shared" si="20"/>
        <v>4096093.3800000022</v>
      </c>
    </row>
    <row r="142" spans="1:11" x14ac:dyDescent="0.25">
      <c r="A142" s="92"/>
      <c r="B142" s="92" t="s">
        <v>81</v>
      </c>
      <c r="C142" s="92">
        <v>2022</v>
      </c>
      <c r="D142" s="105">
        <v>54275.930999999997</v>
      </c>
      <c r="E142" s="96">
        <f t="shared" ref="E142:H142" si="28">E17+E38+E59+E80+E101+E121</f>
        <v>5832883.2399999984</v>
      </c>
      <c r="F142" s="109">
        <f t="shared" si="28"/>
        <v>5877718.2499999981</v>
      </c>
      <c r="G142" s="109">
        <f t="shared" si="28"/>
        <v>-44835.010000000009</v>
      </c>
      <c r="H142" s="109">
        <f t="shared" si="28"/>
        <v>94185.220000000234</v>
      </c>
      <c r="I142" s="92"/>
      <c r="J142" s="97"/>
      <c r="K142" s="109">
        <f t="shared" si="20"/>
        <v>5927068.459999999</v>
      </c>
    </row>
    <row r="143" spans="1:11" x14ac:dyDescent="0.25">
      <c r="A143" s="92"/>
      <c r="B143" s="92" t="s">
        <v>82</v>
      </c>
      <c r="C143" s="92">
        <v>2022</v>
      </c>
      <c r="D143" s="105">
        <v>59070.714999999997</v>
      </c>
      <c r="E143" s="96">
        <f t="shared" ref="E143:H143" si="29">E18+E39+E60+E81+E102+E122</f>
        <v>6428597.790000001</v>
      </c>
      <c r="F143" s="109">
        <f t="shared" si="29"/>
        <v>6080128.6700000009</v>
      </c>
      <c r="G143" s="109">
        <f t="shared" si="29"/>
        <v>348469.12</v>
      </c>
      <c r="H143" s="109">
        <f t="shared" si="29"/>
        <v>448809.10000000219</v>
      </c>
      <c r="I143" s="92"/>
      <c r="J143" s="97"/>
      <c r="K143" s="109">
        <f t="shared" si="20"/>
        <v>6877406.8900000034</v>
      </c>
    </row>
    <row r="144" spans="1:11" x14ac:dyDescent="0.25">
      <c r="A144" s="92"/>
      <c r="B144" s="92" t="s">
        <v>83</v>
      </c>
      <c r="C144" s="92">
        <v>2022</v>
      </c>
      <c r="D144" s="105">
        <v>48393.809000000001</v>
      </c>
      <c r="E144" s="96">
        <f t="shared" ref="E144:H144" si="30">E19+E40+E61+E82+E103+E123</f>
        <v>5173512.2899999982</v>
      </c>
      <c r="F144" s="109">
        <f t="shared" si="30"/>
        <v>5418605.6699999981</v>
      </c>
      <c r="G144" s="109">
        <f t="shared" si="30"/>
        <v>-245093.38</v>
      </c>
      <c r="H144" s="109">
        <f t="shared" si="30"/>
        <v>-3315196.6300000013</v>
      </c>
      <c r="I144" s="92"/>
      <c r="J144" s="97"/>
      <c r="K144" s="109">
        <f t="shared" si="20"/>
        <v>1858315.6599999969</v>
      </c>
    </row>
    <row r="145" spans="1:11" x14ac:dyDescent="0.25">
      <c r="A145" s="92"/>
      <c r="B145" s="92" t="s">
        <v>84</v>
      </c>
      <c r="C145" s="92">
        <v>2022</v>
      </c>
      <c r="D145" s="105">
        <v>47885.24</v>
      </c>
      <c r="E145" s="96">
        <f t="shared" ref="E145:H145" si="31">E20+E41+E62+E83+E104+E124</f>
        <v>3493045.410000002</v>
      </c>
      <c r="F145" s="109">
        <f t="shared" si="31"/>
        <v>4369381.4000000022</v>
      </c>
      <c r="G145" s="109">
        <f t="shared" si="31"/>
        <v>-876335.99</v>
      </c>
      <c r="H145" s="109">
        <f t="shared" si="31"/>
        <v>-4683074.22</v>
      </c>
      <c r="I145" s="92"/>
      <c r="J145" s="97"/>
      <c r="K145" s="109">
        <f t="shared" si="20"/>
        <v>-1190028.8099999977</v>
      </c>
    </row>
    <row r="146" spans="1:11" x14ac:dyDescent="0.25">
      <c r="A146" s="92"/>
      <c r="B146" s="92" t="s">
        <v>73</v>
      </c>
      <c r="C146" s="92">
        <v>2022</v>
      </c>
      <c r="D146" s="105">
        <v>35283.055</v>
      </c>
      <c r="E146" s="96">
        <f t="shared" ref="E146:H146" si="32">E21+E42+E63+E84+E105+E125</f>
        <v>3189963.9</v>
      </c>
      <c r="F146" s="109">
        <f t="shared" si="32"/>
        <v>3422537.18</v>
      </c>
      <c r="G146" s="109">
        <f t="shared" si="32"/>
        <v>-232573.27999999997</v>
      </c>
      <c r="H146" s="109">
        <f t="shared" si="32"/>
        <v>-6192916.3799999999</v>
      </c>
      <c r="I146" s="92"/>
      <c r="J146" s="97"/>
      <c r="K146" s="109">
        <f t="shared" si="20"/>
        <v>-3002952.48</v>
      </c>
    </row>
    <row r="147" spans="1:11" x14ac:dyDescent="0.25">
      <c r="A147" s="92"/>
      <c r="B147" s="92" t="s">
        <v>74</v>
      </c>
      <c r="C147" s="92">
        <v>2022</v>
      </c>
      <c r="D147" s="105">
        <v>32338.646000000001</v>
      </c>
      <c r="E147" s="96">
        <f t="shared" ref="E147:H147" si="33">E22+E43+E64+E85+E106+E126</f>
        <v>3176797.52</v>
      </c>
      <c r="F147" s="109">
        <f t="shared" si="33"/>
        <v>3192167.85</v>
      </c>
      <c r="G147" s="109">
        <f t="shared" si="33"/>
        <v>-15370.330000000004</v>
      </c>
      <c r="H147" s="109">
        <f t="shared" si="33"/>
        <v>-7024835.4399999995</v>
      </c>
      <c r="I147" s="92"/>
      <c r="J147" s="97"/>
      <c r="K147" s="109">
        <f t="shared" si="20"/>
        <v>-3848037.9199999995</v>
      </c>
    </row>
    <row r="148" spans="1:11" x14ac:dyDescent="0.25">
      <c r="A148" s="92"/>
      <c r="B148" s="92" t="s">
        <v>75</v>
      </c>
      <c r="C148" s="92">
        <v>2022</v>
      </c>
      <c r="D148" s="105">
        <v>42064.267</v>
      </c>
      <c r="E148" s="96">
        <f t="shared" ref="E148:H148" si="34">E23+E44+E65+E86+E107+E127</f>
        <v>4113095.2800000003</v>
      </c>
      <c r="F148" s="109">
        <f t="shared" si="34"/>
        <v>4096891.07</v>
      </c>
      <c r="G148" s="109">
        <f t="shared" si="34"/>
        <v>16204.209999999992</v>
      </c>
      <c r="H148" s="109">
        <f t="shared" si="34"/>
        <v>-3749500.2000000007</v>
      </c>
      <c r="I148" s="92"/>
      <c r="J148" s="97"/>
      <c r="K148" s="109">
        <f t="shared" si="20"/>
        <v>363595.07999999961</v>
      </c>
    </row>
    <row r="149" spans="1:11" x14ac:dyDescent="0.25">
      <c r="A149" s="92"/>
      <c r="B149" s="92" t="s">
        <v>76</v>
      </c>
      <c r="C149" s="92">
        <v>2022</v>
      </c>
      <c r="D149" s="105">
        <v>31113.785</v>
      </c>
      <c r="E149" s="96">
        <f t="shared" ref="E149:H149" si="35">E24+E45+E66+E87+E108+E128</f>
        <v>4435439.5299999993</v>
      </c>
      <c r="F149" s="109">
        <f t="shared" si="35"/>
        <v>4053935.25</v>
      </c>
      <c r="G149" s="109">
        <f t="shared" si="35"/>
        <v>381504.28</v>
      </c>
      <c r="H149" s="109">
        <f t="shared" si="35"/>
        <v>-3397716.62</v>
      </c>
      <c r="I149" s="92"/>
      <c r="J149" s="97"/>
      <c r="K149" s="109">
        <f t="shared" si="20"/>
        <v>1037722.9099999992</v>
      </c>
    </row>
    <row r="150" spans="1:11" x14ac:dyDescent="0.25">
      <c r="A150" s="92"/>
      <c r="B150" s="92" t="s">
        <v>77</v>
      </c>
      <c r="C150" s="92">
        <v>2022</v>
      </c>
      <c r="D150" s="105">
        <v>47514.953000000001</v>
      </c>
      <c r="E150" s="96">
        <f t="shared" ref="E150:H150" si="36">E25+E46+E67+E88+E109+E129</f>
        <v>6243368.4000000004</v>
      </c>
      <c r="F150" s="109">
        <f t="shared" si="36"/>
        <v>6071683.25</v>
      </c>
      <c r="G150" s="109">
        <f t="shared" si="36"/>
        <v>171685.14999999997</v>
      </c>
      <c r="H150" s="109">
        <f t="shared" si="36"/>
        <v>-2027285.88</v>
      </c>
      <c r="I150" s="92"/>
      <c r="J150" s="97"/>
      <c r="K150" s="109">
        <f t="shared" si="20"/>
        <v>4216082.5200000005</v>
      </c>
    </row>
    <row r="151" spans="1:11" ht="15.75" thickBot="1" x14ac:dyDescent="0.3">
      <c r="A151" s="92"/>
      <c r="B151" s="92"/>
      <c r="C151" s="92"/>
      <c r="D151" s="95"/>
      <c r="E151" s="107">
        <f>SUM(E133:E150)</f>
        <v>78798409.530000001</v>
      </c>
      <c r="F151" s="107">
        <f t="shared" ref="F151:H151" si="37">SUM(F133:F150)</f>
        <v>80393328.159999996</v>
      </c>
      <c r="G151" s="107">
        <f t="shared" si="37"/>
        <v>-1594918.6299999997</v>
      </c>
      <c r="H151" s="107">
        <f t="shared" si="37"/>
        <v>-45776397.210000351</v>
      </c>
      <c r="I151" s="92"/>
      <c r="J151" s="108"/>
      <c r="K151" s="107">
        <f t="shared" ref="K151" si="38">SUM(K133:K150)</f>
        <v>33022012.31999965</v>
      </c>
    </row>
    <row r="152" spans="1:11" ht="15.75" thickTop="1" x14ac:dyDescent="0.25">
      <c r="A152" s="92"/>
      <c r="B152" s="92"/>
      <c r="C152" s="92"/>
      <c r="D152" s="95"/>
      <c r="E152" s="109"/>
      <c r="F152" s="109"/>
      <c r="G152" s="109"/>
      <c r="H152" s="109"/>
      <c r="I152" s="92"/>
      <c r="J152" s="108"/>
      <c r="K152" s="92"/>
    </row>
    <row r="153" spans="1:11" x14ac:dyDescent="0.25">
      <c r="A153" s="92"/>
      <c r="B153" s="92"/>
      <c r="C153" s="92"/>
      <c r="D153" s="95"/>
      <c r="E153" s="109">
        <f>E130+E110+E89+E68+E47+E26</f>
        <v>78798409.530000001</v>
      </c>
      <c r="F153" s="109"/>
      <c r="G153" s="109"/>
      <c r="H153" s="109"/>
      <c r="I153" s="92"/>
      <c r="J153" s="108"/>
      <c r="K153" s="92"/>
    </row>
  </sheetData>
  <mergeCells count="1">
    <mergeCell ref="E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ACBC2-3EB7-4E64-9F03-B118C83AE298}">
  <dimension ref="A1:M199"/>
  <sheetViews>
    <sheetView workbookViewId="0">
      <selection activeCell="J1" sqref="J1"/>
    </sheetView>
  </sheetViews>
  <sheetFormatPr defaultRowHeight="15" x14ac:dyDescent="0.25"/>
  <cols>
    <col min="1" max="1" width="14.28515625" bestFit="1" customWidth="1"/>
    <col min="2" max="2" width="10.5703125" bestFit="1" customWidth="1"/>
    <col min="3" max="3" width="6.42578125" customWidth="1"/>
    <col min="4" max="4" width="11.28515625" bestFit="1" customWidth="1"/>
    <col min="5" max="5" width="19.5703125" customWidth="1"/>
    <col min="6" max="6" width="16.28515625" bestFit="1" customWidth="1"/>
    <col min="7" max="7" width="15.140625" bestFit="1" customWidth="1"/>
    <col min="8" max="8" width="17.140625" bestFit="1" customWidth="1"/>
    <col min="10" max="10" width="14.85546875" bestFit="1" customWidth="1"/>
    <col min="13" max="13" width="13.7109375" bestFit="1" customWidth="1"/>
  </cols>
  <sheetData>
    <row r="1" spans="1:10" x14ac:dyDescent="0.25">
      <c r="A1" s="91" t="s">
        <v>9</v>
      </c>
      <c r="B1" s="92" t="s">
        <v>85</v>
      </c>
      <c r="D1" s="75"/>
      <c r="E1" s="76"/>
      <c r="F1" s="76"/>
      <c r="G1" s="76"/>
      <c r="H1" s="77" t="s">
        <v>65</v>
      </c>
      <c r="J1" s="114" t="s">
        <v>105</v>
      </c>
    </row>
    <row r="2" spans="1:10" x14ac:dyDescent="0.25">
      <c r="A2" s="92" t="s">
        <v>103</v>
      </c>
      <c r="D2" s="75"/>
      <c r="E2" s="76"/>
      <c r="F2" s="76"/>
      <c r="G2" s="76"/>
      <c r="H2" s="78" t="s">
        <v>66</v>
      </c>
    </row>
    <row r="3" spans="1:10" x14ac:dyDescent="0.25">
      <c r="A3" t="s">
        <v>104</v>
      </c>
      <c r="D3" s="75"/>
      <c r="E3" s="113" t="s">
        <v>67</v>
      </c>
      <c r="F3" s="113"/>
      <c r="G3" s="113"/>
      <c r="H3" s="79" t="s">
        <v>68</v>
      </c>
    </row>
    <row r="4" spans="1:10" ht="15.75" thickBot="1" x14ac:dyDescent="0.3">
      <c r="D4" s="75"/>
      <c r="E4" s="80" t="s">
        <v>69</v>
      </c>
      <c r="F4" s="81" t="s">
        <v>70</v>
      </c>
      <c r="G4" s="81" t="s">
        <v>71</v>
      </c>
      <c r="H4" s="82" t="s">
        <v>72</v>
      </c>
      <c r="J4" s="83" t="s">
        <v>95</v>
      </c>
    </row>
    <row r="5" spans="1:10" x14ac:dyDescent="0.25">
      <c r="D5" s="75"/>
      <c r="E5" s="84"/>
      <c r="F5" s="84"/>
      <c r="G5" s="79"/>
      <c r="H5" s="84"/>
    </row>
    <row r="6" spans="1:10" x14ac:dyDescent="0.25">
      <c r="A6" s="92" t="s">
        <v>86</v>
      </c>
      <c r="B6" s="17" t="s">
        <v>84</v>
      </c>
      <c r="C6">
        <v>2021</v>
      </c>
      <c r="D6" s="75"/>
      <c r="E6" s="84">
        <v>1209096</v>
      </c>
      <c r="F6" s="84">
        <v>1209096</v>
      </c>
      <c r="G6" s="79">
        <f>E6-F6</f>
        <v>0</v>
      </c>
      <c r="H6" s="84">
        <v>-426370.61</v>
      </c>
      <c r="J6" s="94">
        <f t="shared" ref="J6:J24" si="0">E6+H6</f>
        <v>782725.39</v>
      </c>
    </row>
    <row r="7" spans="1:10" x14ac:dyDescent="0.25">
      <c r="B7" t="s">
        <v>73</v>
      </c>
      <c r="C7">
        <v>2021</v>
      </c>
      <c r="D7" s="85">
        <v>35136</v>
      </c>
      <c r="E7" s="76">
        <f t="shared" ref="E7:E12" si="1">F7+G7</f>
        <v>1106784</v>
      </c>
      <c r="F7" s="76">
        <v>1106784</v>
      </c>
      <c r="G7" s="76">
        <v>0</v>
      </c>
      <c r="H7" s="76">
        <v>-739036.97999999905</v>
      </c>
      <c r="J7" s="94">
        <f t="shared" si="0"/>
        <v>367747.02000000095</v>
      </c>
    </row>
    <row r="8" spans="1:10" x14ac:dyDescent="0.25">
      <c r="B8" t="s">
        <v>74</v>
      </c>
      <c r="C8">
        <v>2021</v>
      </c>
      <c r="D8" s="85">
        <v>48255</v>
      </c>
      <c r="E8" s="76">
        <f t="shared" si="1"/>
        <v>1520032.5</v>
      </c>
      <c r="F8" s="76">
        <v>1520032.5</v>
      </c>
      <c r="G8" s="76">
        <v>0</v>
      </c>
      <c r="H8" s="76">
        <v>-676235.40000000014</v>
      </c>
      <c r="J8" s="94">
        <f t="shared" si="0"/>
        <v>843797.09999999986</v>
      </c>
    </row>
    <row r="9" spans="1:10" x14ac:dyDescent="0.25">
      <c r="B9" t="s">
        <v>75</v>
      </c>
      <c r="C9">
        <v>2021</v>
      </c>
      <c r="D9" s="75">
        <v>45278</v>
      </c>
      <c r="E9" s="76">
        <f t="shared" si="1"/>
        <v>1426257</v>
      </c>
      <c r="F9" s="76">
        <v>1426257</v>
      </c>
      <c r="G9" s="76">
        <v>0</v>
      </c>
      <c r="H9" s="76">
        <v>-149392.13999999996</v>
      </c>
      <c r="J9" s="94">
        <f t="shared" si="0"/>
        <v>1276864.8600000001</v>
      </c>
    </row>
    <row r="10" spans="1:10" x14ac:dyDescent="0.25">
      <c r="B10" t="s">
        <v>76</v>
      </c>
      <c r="C10">
        <v>2021</v>
      </c>
      <c r="D10" s="75">
        <v>43287</v>
      </c>
      <c r="E10" s="76">
        <f t="shared" si="1"/>
        <v>1363540.5</v>
      </c>
      <c r="F10" s="76">
        <v>1363540.5</v>
      </c>
      <c r="G10" s="76">
        <v>0</v>
      </c>
      <c r="H10" s="76">
        <v>260179.13999999996</v>
      </c>
      <c r="J10" s="94">
        <f t="shared" si="0"/>
        <v>1623719.64</v>
      </c>
    </row>
    <row r="11" spans="1:10" x14ac:dyDescent="0.25">
      <c r="B11" t="s">
        <v>77</v>
      </c>
      <c r="C11">
        <v>2021</v>
      </c>
      <c r="D11" s="75">
        <v>48092</v>
      </c>
      <c r="E11" s="76">
        <f t="shared" si="1"/>
        <v>1514898</v>
      </c>
      <c r="F11" s="76">
        <v>1514898</v>
      </c>
      <c r="G11" s="76">
        <v>0</v>
      </c>
      <c r="H11" s="76">
        <v>-247959.12000000011</v>
      </c>
      <c r="J11" s="94">
        <f t="shared" si="0"/>
        <v>1266938.8799999999</v>
      </c>
    </row>
    <row r="12" spans="1:10" x14ac:dyDescent="0.25">
      <c r="B12" t="s">
        <v>78</v>
      </c>
      <c r="C12">
        <v>2021</v>
      </c>
      <c r="D12" s="75">
        <v>54165</v>
      </c>
      <c r="E12" s="76">
        <f t="shared" si="1"/>
        <v>1706197.5</v>
      </c>
      <c r="F12" s="76">
        <v>1706197.5</v>
      </c>
      <c r="G12" s="76">
        <v>0</v>
      </c>
      <c r="H12" s="76">
        <v>48766.950000000004</v>
      </c>
      <c r="J12" s="94">
        <f t="shared" si="0"/>
        <v>1754964.45</v>
      </c>
    </row>
    <row r="13" spans="1:10" x14ac:dyDescent="0.25">
      <c r="B13" t="s">
        <v>79</v>
      </c>
      <c r="C13">
        <v>2022</v>
      </c>
      <c r="D13" s="86">
        <v>49742</v>
      </c>
      <c r="E13" s="87">
        <v>1566873</v>
      </c>
      <c r="F13" s="87">
        <v>1566873</v>
      </c>
      <c r="G13" s="87">
        <v>0</v>
      </c>
      <c r="H13" s="87">
        <v>-109734.88000000008</v>
      </c>
      <c r="J13" s="94">
        <f t="shared" si="0"/>
        <v>1457138.1199999999</v>
      </c>
    </row>
    <row r="14" spans="1:10" x14ac:dyDescent="0.25">
      <c r="B14" t="s">
        <v>80</v>
      </c>
      <c r="C14">
        <v>2022</v>
      </c>
      <c r="D14" s="86">
        <v>49978</v>
      </c>
      <c r="E14" s="87">
        <v>1574307</v>
      </c>
      <c r="F14" s="87">
        <v>1574307</v>
      </c>
      <c r="G14" s="87">
        <v>0</v>
      </c>
      <c r="H14" s="87">
        <v>13890.680000000111</v>
      </c>
      <c r="J14" s="94">
        <f t="shared" si="0"/>
        <v>1588197.6800000002</v>
      </c>
    </row>
    <row r="15" spans="1:10" x14ac:dyDescent="0.25">
      <c r="B15" t="s">
        <v>81</v>
      </c>
      <c r="C15">
        <v>2022</v>
      </c>
      <c r="D15" s="86">
        <v>59156</v>
      </c>
      <c r="E15" s="87">
        <v>1863414</v>
      </c>
      <c r="F15" s="87">
        <v>1863414</v>
      </c>
      <c r="G15" s="87">
        <v>0</v>
      </c>
      <c r="H15" s="87">
        <v>170632.0800000001</v>
      </c>
      <c r="J15" s="94">
        <f t="shared" si="0"/>
        <v>2034046.08</v>
      </c>
    </row>
    <row r="16" spans="1:10" x14ac:dyDescent="0.25">
      <c r="B16" t="s">
        <v>82</v>
      </c>
      <c r="C16">
        <v>2022</v>
      </c>
      <c r="D16" s="88">
        <v>63718</v>
      </c>
      <c r="E16" s="87">
        <v>2007117</v>
      </c>
      <c r="F16" s="87">
        <v>2007117</v>
      </c>
      <c r="G16" s="87">
        <v>0</v>
      </c>
      <c r="H16" s="87">
        <v>354469.14999999985</v>
      </c>
      <c r="J16" s="94">
        <f t="shared" si="0"/>
        <v>2361586.15</v>
      </c>
    </row>
    <row r="17" spans="1:10" x14ac:dyDescent="0.25">
      <c r="B17" t="s">
        <v>83</v>
      </c>
      <c r="C17">
        <v>2022</v>
      </c>
      <c r="D17" s="86">
        <v>58501</v>
      </c>
      <c r="E17" s="87">
        <v>1842781.5</v>
      </c>
      <c r="F17" s="87">
        <v>1842781.5</v>
      </c>
      <c r="G17" s="87">
        <v>0</v>
      </c>
      <c r="H17" s="87">
        <v>-397403.73000000004</v>
      </c>
      <c r="J17" s="94">
        <f t="shared" si="0"/>
        <v>1445377.77</v>
      </c>
    </row>
    <row r="18" spans="1:10" x14ac:dyDescent="0.25">
      <c r="B18" t="s">
        <v>84</v>
      </c>
      <c r="C18">
        <v>2022</v>
      </c>
      <c r="D18" s="86">
        <v>35732</v>
      </c>
      <c r="E18" s="87">
        <v>1125558</v>
      </c>
      <c r="F18" s="87">
        <v>1125558</v>
      </c>
      <c r="G18" s="87">
        <v>0</v>
      </c>
      <c r="H18" s="87">
        <v>-1125244.4700000011</v>
      </c>
      <c r="J18" s="94">
        <f t="shared" si="0"/>
        <v>313.52999999886379</v>
      </c>
    </row>
    <row r="19" spans="1:10" x14ac:dyDescent="0.25">
      <c r="B19" t="s">
        <v>73</v>
      </c>
      <c r="C19">
        <v>2022</v>
      </c>
      <c r="D19" s="88">
        <v>33092</v>
      </c>
      <c r="E19" s="76">
        <v>1042398</v>
      </c>
      <c r="F19" s="76">
        <v>1042398</v>
      </c>
      <c r="G19" s="76">
        <v>0</v>
      </c>
      <c r="H19" s="76">
        <v>-1471157.15</v>
      </c>
      <c r="J19" s="94">
        <f t="shared" si="0"/>
        <v>-428759.14999999991</v>
      </c>
    </row>
    <row r="20" spans="1:10" x14ac:dyDescent="0.25">
      <c r="B20" t="s">
        <v>74</v>
      </c>
      <c r="C20">
        <v>2022</v>
      </c>
      <c r="D20" s="86">
        <v>27449</v>
      </c>
      <c r="E20" s="87">
        <v>864643.5</v>
      </c>
      <c r="F20" s="87">
        <v>864643.5</v>
      </c>
      <c r="G20" s="87">
        <v>0</v>
      </c>
      <c r="H20" s="87">
        <v>-1498491.39</v>
      </c>
      <c r="J20" s="94">
        <f t="shared" si="0"/>
        <v>-633847.8899999999</v>
      </c>
    </row>
    <row r="21" spans="1:10" x14ac:dyDescent="0.25">
      <c r="B21" t="s">
        <v>75</v>
      </c>
      <c r="C21">
        <v>2022</v>
      </c>
      <c r="D21" s="86">
        <v>20630</v>
      </c>
      <c r="E21" s="87">
        <v>1543813.3900000001</v>
      </c>
      <c r="F21" s="87">
        <v>649845</v>
      </c>
      <c r="G21" s="87">
        <v>893968.39</v>
      </c>
      <c r="H21" s="87">
        <v>-817169.13</v>
      </c>
      <c r="J21" s="94">
        <f t="shared" si="0"/>
        <v>726644.26000000013</v>
      </c>
    </row>
    <row r="22" spans="1:10" x14ac:dyDescent="0.25">
      <c r="B22" t="s">
        <v>76</v>
      </c>
      <c r="C22">
        <v>2022</v>
      </c>
      <c r="D22" s="86">
        <v>17191</v>
      </c>
      <c r="E22" s="87">
        <v>1069440.3399999999</v>
      </c>
      <c r="F22" s="87">
        <v>541516.5</v>
      </c>
      <c r="G22" s="87">
        <v>527923.84</v>
      </c>
      <c r="H22" s="87">
        <v>-751021.58</v>
      </c>
      <c r="J22" s="94">
        <f t="shared" si="0"/>
        <v>318418.75999999989</v>
      </c>
    </row>
    <row r="23" spans="1:10" x14ac:dyDescent="0.25">
      <c r="B23" t="s">
        <v>77</v>
      </c>
      <c r="C23">
        <v>2022</v>
      </c>
      <c r="D23" s="86">
        <v>18440</v>
      </c>
      <c r="E23" s="87">
        <v>1456258.58</v>
      </c>
      <c r="F23" s="87">
        <v>580860</v>
      </c>
      <c r="G23" s="87">
        <v>875398.58</v>
      </c>
      <c r="H23" s="87">
        <v>-557877.36</v>
      </c>
      <c r="J23" s="94">
        <f t="shared" si="0"/>
        <v>898381.22000000009</v>
      </c>
    </row>
    <row r="24" spans="1:10" x14ac:dyDescent="0.25">
      <c r="B24" t="s">
        <v>78</v>
      </c>
      <c r="C24">
        <v>2022</v>
      </c>
      <c r="D24" s="86">
        <v>24205</v>
      </c>
      <c r="E24" s="87">
        <v>1028607.02</v>
      </c>
      <c r="F24" s="87">
        <v>762457.5</v>
      </c>
      <c r="G24" s="87">
        <v>266149.52</v>
      </c>
      <c r="H24" s="87">
        <v>-716680.48</v>
      </c>
      <c r="J24" s="87">
        <f t="shared" si="0"/>
        <v>311926.54000000004</v>
      </c>
    </row>
    <row r="25" spans="1:10" ht="15.75" thickBot="1" x14ac:dyDescent="0.3">
      <c r="D25" s="75">
        <f>SUM(D7:D24)</f>
        <v>732047</v>
      </c>
      <c r="E25" s="89">
        <f>SUM(E7:E24)</f>
        <v>25622920.830000002</v>
      </c>
      <c r="F25" s="89">
        <f t="shared" ref="F25:J25" si="2">SUM(F7:F24)</f>
        <v>23059480.5</v>
      </c>
      <c r="G25" s="89">
        <f t="shared" si="2"/>
        <v>2563440.33</v>
      </c>
      <c r="H25" s="89">
        <f t="shared" si="2"/>
        <v>-8409465.8100000005</v>
      </c>
      <c r="J25" s="89">
        <f t="shared" si="2"/>
        <v>17213455.019999996</v>
      </c>
    </row>
    <row r="26" spans="1:10" ht="15.75" thickTop="1" x14ac:dyDescent="0.25">
      <c r="D26" s="75"/>
      <c r="E26" s="76"/>
      <c r="F26" s="76"/>
      <c r="G26" s="76"/>
      <c r="H26" s="76"/>
    </row>
    <row r="27" spans="1:10" x14ac:dyDescent="0.25">
      <c r="A27" s="92" t="s">
        <v>87</v>
      </c>
      <c r="D27" s="75"/>
      <c r="E27" s="76">
        <v>815449.99</v>
      </c>
      <c r="F27" s="76">
        <v>744408</v>
      </c>
      <c r="G27" s="76">
        <f>E27-F27</f>
        <v>71041.989999999991</v>
      </c>
      <c r="H27" s="76">
        <v>-486407.06</v>
      </c>
      <c r="J27" s="94">
        <f>E27+H27</f>
        <v>329042.93</v>
      </c>
    </row>
    <row r="28" spans="1:10" x14ac:dyDescent="0.25">
      <c r="B28" t="s">
        <v>73</v>
      </c>
      <c r="C28">
        <v>2021</v>
      </c>
      <c r="D28" s="85">
        <v>19473</v>
      </c>
      <c r="E28" s="76">
        <f t="shared" ref="E28:E33" si="3">F28+G28</f>
        <v>621158.18000000005</v>
      </c>
      <c r="F28" s="76">
        <v>613399.5</v>
      </c>
      <c r="G28" s="76">
        <v>7758.68</v>
      </c>
      <c r="H28" s="76">
        <v>-483295.41000000009</v>
      </c>
      <c r="J28" s="94">
        <f t="shared" ref="J28:J45" si="4">E28+H28</f>
        <v>137862.76999999996</v>
      </c>
    </row>
    <row r="29" spans="1:10" x14ac:dyDescent="0.25">
      <c r="B29" t="s">
        <v>74</v>
      </c>
      <c r="C29">
        <v>2021</v>
      </c>
      <c r="D29" s="85">
        <v>32604</v>
      </c>
      <c r="E29" s="76">
        <f t="shared" si="3"/>
        <v>1030092.98</v>
      </c>
      <c r="F29" s="76">
        <v>1027026</v>
      </c>
      <c r="G29" s="76">
        <v>3066.98</v>
      </c>
      <c r="H29" s="76">
        <v>-838475.89000000025</v>
      </c>
      <c r="J29" s="94">
        <f t="shared" si="4"/>
        <v>191617.08999999973</v>
      </c>
    </row>
    <row r="30" spans="1:10" x14ac:dyDescent="0.25">
      <c r="B30" t="s">
        <v>75</v>
      </c>
      <c r="C30">
        <v>2021</v>
      </c>
      <c r="D30" s="75">
        <v>34267</v>
      </c>
      <c r="E30" s="76">
        <f t="shared" si="3"/>
        <v>1079838.22</v>
      </c>
      <c r="F30" s="76">
        <v>1079410.5</v>
      </c>
      <c r="G30" s="76">
        <v>427.72</v>
      </c>
      <c r="H30" s="76">
        <v>-504737.58</v>
      </c>
      <c r="J30" s="94">
        <f t="shared" si="4"/>
        <v>575100.6399999999</v>
      </c>
    </row>
    <row r="31" spans="1:10" x14ac:dyDescent="0.25">
      <c r="B31" t="s">
        <v>76</v>
      </c>
      <c r="C31">
        <v>2021</v>
      </c>
      <c r="D31" s="75">
        <v>37782</v>
      </c>
      <c r="E31" s="76">
        <f t="shared" si="3"/>
        <v>1466295.1099999999</v>
      </c>
      <c r="F31" s="76">
        <v>1190133</v>
      </c>
      <c r="G31" s="76">
        <f>201105.1+75057.01</f>
        <v>276162.11</v>
      </c>
      <c r="H31" s="76">
        <v>-783478.92999994301</v>
      </c>
      <c r="J31" s="94">
        <f t="shared" si="4"/>
        <v>682816.18000005686</v>
      </c>
    </row>
    <row r="32" spans="1:10" x14ac:dyDescent="0.25">
      <c r="B32" t="s">
        <v>77</v>
      </c>
      <c r="C32">
        <v>2021</v>
      </c>
      <c r="D32" s="75">
        <v>41856</v>
      </c>
      <c r="E32" s="76">
        <f t="shared" si="3"/>
        <v>1318464</v>
      </c>
      <c r="F32" s="76">
        <v>1318464</v>
      </c>
      <c r="G32" s="76">
        <v>0</v>
      </c>
      <c r="H32" s="76">
        <v>-822382.61</v>
      </c>
      <c r="J32" s="94">
        <f t="shared" si="4"/>
        <v>496081.39</v>
      </c>
    </row>
    <row r="33" spans="1:10" x14ac:dyDescent="0.25">
      <c r="B33" t="s">
        <v>78</v>
      </c>
      <c r="C33">
        <v>2021</v>
      </c>
      <c r="D33" s="75">
        <v>48656</v>
      </c>
      <c r="E33" s="76">
        <f t="shared" si="3"/>
        <v>1691433.29</v>
      </c>
      <c r="F33" s="76">
        <v>1532664</v>
      </c>
      <c r="G33" s="76">
        <v>158769.29</v>
      </c>
      <c r="H33" s="76">
        <v>-507766.84999999969</v>
      </c>
      <c r="J33" s="94">
        <f t="shared" si="4"/>
        <v>1183666.4400000004</v>
      </c>
    </row>
    <row r="34" spans="1:10" x14ac:dyDescent="0.25">
      <c r="B34" t="s">
        <v>79</v>
      </c>
      <c r="C34">
        <v>2022</v>
      </c>
      <c r="D34" s="86">
        <v>43961</v>
      </c>
      <c r="E34" s="87">
        <v>1438454.44</v>
      </c>
      <c r="F34" s="87">
        <v>1384771.5</v>
      </c>
      <c r="G34" s="87">
        <v>53682.94</v>
      </c>
      <c r="H34" s="87">
        <v>-838657.6799999997</v>
      </c>
      <c r="J34" s="94">
        <f t="shared" si="4"/>
        <v>599796.76000000024</v>
      </c>
    </row>
    <row r="35" spans="1:10" x14ac:dyDescent="0.25">
      <c r="B35" t="s">
        <v>80</v>
      </c>
      <c r="C35">
        <v>2022</v>
      </c>
      <c r="D35" s="86">
        <v>47413</v>
      </c>
      <c r="E35" s="87">
        <v>1683398.77</v>
      </c>
      <c r="F35" s="87">
        <v>1493509.5</v>
      </c>
      <c r="G35" s="87">
        <v>189889.27</v>
      </c>
      <c r="H35" s="87">
        <v>-701724.59999999928</v>
      </c>
      <c r="J35" s="94">
        <f t="shared" si="4"/>
        <v>981674.17000000074</v>
      </c>
    </row>
    <row r="36" spans="1:10" x14ac:dyDescent="0.25">
      <c r="B36" t="s">
        <v>81</v>
      </c>
      <c r="C36">
        <v>2022</v>
      </c>
      <c r="D36" s="86">
        <v>51618</v>
      </c>
      <c r="E36" s="87">
        <v>1693751.74</v>
      </c>
      <c r="F36" s="87">
        <v>1625967</v>
      </c>
      <c r="G36" s="87">
        <v>67784.740000000005</v>
      </c>
      <c r="H36" s="87">
        <v>-494817.58999999973</v>
      </c>
      <c r="J36" s="94">
        <f t="shared" si="4"/>
        <v>1198934.1500000004</v>
      </c>
    </row>
    <row r="37" spans="1:10" x14ac:dyDescent="0.25">
      <c r="B37" t="s">
        <v>82</v>
      </c>
      <c r="C37">
        <v>2022</v>
      </c>
      <c r="D37" s="86">
        <v>51202</v>
      </c>
      <c r="E37" s="87">
        <v>1617609.29</v>
      </c>
      <c r="F37" s="87">
        <v>1612863</v>
      </c>
      <c r="G37" s="87">
        <v>4746.29</v>
      </c>
      <c r="H37" s="87">
        <v>-602328.03</v>
      </c>
      <c r="J37" s="94">
        <f t="shared" si="4"/>
        <v>1015281.26</v>
      </c>
    </row>
    <row r="38" spans="1:10" x14ac:dyDescent="0.25">
      <c r="B38" t="s">
        <v>83</v>
      </c>
      <c r="C38">
        <v>2022</v>
      </c>
      <c r="D38" s="86">
        <v>38206</v>
      </c>
      <c r="E38" s="87">
        <v>1337201.75</v>
      </c>
      <c r="F38" s="87">
        <v>1203489</v>
      </c>
      <c r="G38" s="87">
        <v>133712.75</v>
      </c>
      <c r="H38" s="87">
        <v>-1168498.3999999985</v>
      </c>
      <c r="J38" s="94">
        <f t="shared" si="4"/>
        <v>168703.35000000149</v>
      </c>
    </row>
    <row r="39" spans="1:10" x14ac:dyDescent="0.25">
      <c r="B39" t="s">
        <v>84</v>
      </c>
      <c r="C39">
        <v>2022</v>
      </c>
      <c r="D39" s="86">
        <v>30501</v>
      </c>
      <c r="E39" s="87">
        <v>1149797.1000000001</v>
      </c>
      <c r="F39" s="87">
        <v>960781.5</v>
      </c>
      <c r="G39" s="87">
        <v>189015.6</v>
      </c>
      <c r="H39" s="87">
        <v>-1101379.7399999998</v>
      </c>
      <c r="J39" s="94">
        <f t="shared" si="4"/>
        <v>48417.360000000335</v>
      </c>
    </row>
    <row r="40" spans="1:10" x14ac:dyDescent="0.25">
      <c r="B40" t="s">
        <v>73</v>
      </c>
      <c r="C40">
        <v>2022</v>
      </c>
      <c r="D40" s="88">
        <v>23059</v>
      </c>
      <c r="E40" s="76">
        <v>865460.54</v>
      </c>
      <c r="F40" s="76">
        <v>726358.5</v>
      </c>
      <c r="G40" s="76">
        <v>139102.04</v>
      </c>
      <c r="H40" s="76">
        <v>-1166195.98</v>
      </c>
      <c r="J40" s="94">
        <f t="shared" si="4"/>
        <v>-300735.43999999994</v>
      </c>
    </row>
    <row r="41" spans="1:10" x14ac:dyDescent="0.25">
      <c r="B41" t="s">
        <v>74</v>
      </c>
      <c r="C41">
        <v>2022</v>
      </c>
      <c r="D41" s="86">
        <v>23879</v>
      </c>
      <c r="E41" s="87">
        <v>756849.42</v>
      </c>
      <c r="F41" s="87">
        <v>752188.5</v>
      </c>
      <c r="G41" s="87">
        <v>4660.92</v>
      </c>
      <c r="H41" s="87">
        <v>-1215518.76</v>
      </c>
      <c r="J41" s="94">
        <f t="shared" si="4"/>
        <v>-458669.33999999997</v>
      </c>
    </row>
    <row r="42" spans="1:10" x14ac:dyDescent="0.25">
      <c r="B42" t="s">
        <v>75</v>
      </c>
      <c r="C42">
        <v>2022</v>
      </c>
      <c r="D42" s="86">
        <v>30141</v>
      </c>
      <c r="E42" s="87">
        <v>982925.09</v>
      </c>
      <c r="F42" s="87">
        <v>949441.5</v>
      </c>
      <c r="G42" s="87">
        <v>33483.589999999997</v>
      </c>
      <c r="H42" s="87">
        <v>-824712.48</v>
      </c>
      <c r="J42" s="94">
        <f t="shared" si="4"/>
        <v>158212.60999999999</v>
      </c>
    </row>
    <row r="43" spans="1:10" x14ac:dyDescent="0.25">
      <c r="B43" t="s">
        <v>76</v>
      </c>
      <c r="C43">
        <v>2022</v>
      </c>
      <c r="D43" s="86">
        <v>33936</v>
      </c>
      <c r="E43" s="87">
        <v>1461610</v>
      </c>
      <c r="F43" s="87">
        <v>1068984</v>
      </c>
      <c r="G43" s="87">
        <v>392626</v>
      </c>
      <c r="H43" s="87">
        <v>-1300501.6399999999</v>
      </c>
      <c r="J43" s="94">
        <f t="shared" si="4"/>
        <v>161108.3600000001</v>
      </c>
    </row>
    <row r="44" spans="1:10" x14ac:dyDescent="0.25">
      <c r="B44" t="s">
        <v>77</v>
      </c>
      <c r="C44">
        <v>2022</v>
      </c>
      <c r="D44" s="86">
        <v>50563</v>
      </c>
      <c r="E44" s="87">
        <v>2128407.92</v>
      </c>
      <c r="F44" s="87">
        <v>1592734.5</v>
      </c>
      <c r="G44" s="87">
        <v>535673.42000000004</v>
      </c>
      <c r="H44" s="87">
        <v>-1072682.73</v>
      </c>
      <c r="J44" s="94">
        <f t="shared" si="4"/>
        <v>1055725.19</v>
      </c>
    </row>
    <row r="45" spans="1:10" x14ac:dyDescent="0.25">
      <c r="B45" t="s">
        <v>78</v>
      </c>
      <c r="C45">
        <v>2022</v>
      </c>
      <c r="D45" s="86">
        <v>42571</v>
      </c>
      <c r="E45" s="87">
        <v>1273017.5</v>
      </c>
      <c r="F45" s="87">
        <v>1340986.5</v>
      </c>
      <c r="G45" s="87">
        <v>-67969</v>
      </c>
      <c r="H45" s="87">
        <v>-1621950.48</v>
      </c>
      <c r="J45" s="94">
        <f t="shared" si="4"/>
        <v>-348932.98</v>
      </c>
    </row>
    <row r="46" spans="1:10" ht="15.75" thickBot="1" x14ac:dyDescent="0.3">
      <c r="D46" s="75">
        <f>SUM(D28:D45)</f>
        <v>681688</v>
      </c>
      <c r="E46" s="89">
        <f>SUM(E28:E45)</f>
        <v>23595765.340000004</v>
      </c>
      <c r="F46" s="89">
        <f t="shared" ref="F46:H46" si="5">SUM(F28:F45)</f>
        <v>21473172</v>
      </c>
      <c r="G46" s="89">
        <f t="shared" si="5"/>
        <v>2122593.3400000003</v>
      </c>
      <c r="H46" s="89">
        <f t="shared" si="5"/>
        <v>-16049105.379999943</v>
      </c>
    </row>
    <row r="47" spans="1:10" ht="15.75" thickTop="1" x14ac:dyDescent="0.25">
      <c r="D47" s="75"/>
      <c r="E47" s="76"/>
      <c r="F47" s="76"/>
      <c r="G47" s="76"/>
      <c r="H47" s="76"/>
    </row>
    <row r="48" spans="1:10" x14ac:dyDescent="0.25">
      <c r="A48" s="92" t="s">
        <v>88</v>
      </c>
      <c r="D48" s="75"/>
      <c r="E48" s="76">
        <v>1105652.96</v>
      </c>
      <c r="F48" s="76">
        <v>1104795.6000000001</v>
      </c>
      <c r="G48" s="76">
        <f>E48-F48</f>
        <v>857.35999999986961</v>
      </c>
      <c r="H48" s="76">
        <v>-704529.82</v>
      </c>
      <c r="J48" s="94">
        <f>E48+H48</f>
        <v>401123.14</v>
      </c>
    </row>
    <row r="49" spans="2:10" x14ac:dyDescent="0.25">
      <c r="B49" t="s">
        <v>73</v>
      </c>
      <c r="C49">
        <v>2021</v>
      </c>
      <c r="D49" s="85">
        <v>28045</v>
      </c>
      <c r="E49" s="76">
        <f t="shared" ref="E49:E54" si="6">F49+G49</f>
        <v>841857.8199999989</v>
      </c>
      <c r="F49" s="76">
        <v>839947.74999999895</v>
      </c>
      <c r="G49" s="76">
        <v>1910.07</v>
      </c>
      <c r="H49" s="76">
        <v>-675186.16000000038</v>
      </c>
      <c r="J49" s="94">
        <f t="shared" ref="J49:J66" si="7">E49+H49</f>
        <v>166671.65999999852</v>
      </c>
    </row>
    <row r="50" spans="2:10" x14ac:dyDescent="0.25">
      <c r="B50" t="s">
        <v>74</v>
      </c>
      <c r="C50">
        <v>2021</v>
      </c>
      <c r="D50" s="85">
        <v>47981</v>
      </c>
      <c r="E50" s="76">
        <f t="shared" si="6"/>
        <v>1437480.0500000012</v>
      </c>
      <c r="F50" s="76">
        <v>1437030.9500000011</v>
      </c>
      <c r="G50" s="76">
        <v>449.1</v>
      </c>
      <c r="H50" s="76">
        <v>-1107200.5999999982</v>
      </c>
      <c r="J50" s="94">
        <f t="shared" si="7"/>
        <v>330279.45000000298</v>
      </c>
    </row>
    <row r="51" spans="2:10" x14ac:dyDescent="0.25">
      <c r="B51" t="s">
        <v>75</v>
      </c>
      <c r="C51">
        <v>2021</v>
      </c>
      <c r="D51" s="75">
        <v>49216</v>
      </c>
      <c r="E51" s="76">
        <f t="shared" si="6"/>
        <v>1474769.07</v>
      </c>
      <c r="F51" s="76">
        <v>1474019.2</v>
      </c>
      <c r="G51" s="76">
        <v>749.87</v>
      </c>
      <c r="H51" s="76">
        <v>-494293.04999999912</v>
      </c>
      <c r="J51" s="94">
        <f t="shared" si="7"/>
        <v>980476.02000000095</v>
      </c>
    </row>
    <row r="52" spans="2:10" x14ac:dyDescent="0.25">
      <c r="B52" t="s">
        <v>76</v>
      </c>
      <c r="C52">
        <v>2021</v>
      </c>
      <c r="D52" s="75">
        <v>54198</v>
      </c>
      <c r="E52" s="76">
        <f t="shared" si="6"/>
        <v>1623230.1</v>
      </c>
      <c r="F52" s="76">
        <v>1623230.1</v>
      </c>
      <c r="G52" s="76">
        <v>0</v>
      </c>
      <c r="H52" s="76">
        <v>-764501.48999999987</v>
      </c>
      <c r="J52" s="94">
        <f t="shared" si="7"/>
        <v>858728.61000000022</v>
      </c>
    </row>
    <row r="53" spans="2:10" x14ac:dyDescent="0.25">
      <c r="B53" t="s">
        <v>77</v>
      </c>
      <c r="C53">
        <v>2021</v>
      </c>
      <c r="D53" s="75">
        <v>62347</v>
      </c>
      <c r="E53" s="76">
        <f t="shared" si="6"/>
        <v>1867292.65</v>
      </c>
      <c r="F53" s="76">
        <v>1867292.65</v>
      </c>
      <c r="G53" s="76">
        <v>0</v>
      </c>
      <c r="H53" s="76">
        <v>-739355.44999999925</v>
      </c>
      <c r="J53" s="94">
        <f t="shared" si="7"/>
        <v>1127937.2000000007</v>
      </c>
    </row>
    <row r="54" spans="2:10" x14ac:dyDescent="0.25">
      <c r="B54" t="s">
        <v>78</v>
      </c>
      <c r="C54">
        <v>2021</v>
      </c>
      <c r="D54" s="75">
        <v>67124</v>
      </c>
      <c r="E54" s="76">
        <f t="shared" si="6"/>
        <v>2018374.1300000001</v>
      </c>
      <c r="F54" s="76">
        <v>2010363.8</v>
      </c>
      <c r="G54" s="76">
        <v>8010.33</v>
      </c>
      <c r="H54" s="76">
        <v>-592266.11000000057</v>
      </c>
      <c r="J54" s="94">
        <f t="shared" si="7"/>
        <v>1426108.0199999996</v>
      </c>
    </row>
    <row r="55" spans="2:10" x14ac:dyDescent="0.25">
      <c r="B55" t="s">
        <v>79</v>
      </c>
      <c r="C55">
        <v>2022</v>
      </c>
      <c r="D55" s="86">
        <v>65298</v>
      </c>
      <c r="E55" s="87">
        <v>1966009.49</v>
      </c>
      <c r="F55" s="87">
        <v>1955675.1</v>
      </c>
      <c r="G55" s="87">
        <v>10334.39</v>
      </c>
      <c r="H55" s="87">
        <v>-953247.06999999913</v>
      </c>
      <c r="J55" s="94">
        <f t="shared" si="7"/>
        <v>1012762.4200000009</v>
      </c>
    </row>
    <row r="56" spans="2:10" x14ac:dyDescent="0.25">
      <c r="B56" t="s">
        <v>80</v>
      </c>
      <c r="C56">
        <v>2022</v>
      </c>
      <c r="D56" s="86">
        <v>62916</v>
      </c>
      <c r="E56" s="87">
        <v>1908259.42</v>
      </c>
      <c r="F56" s="87">
        <v>1884334.2</v>
      </c>
      <c r="G56" s="87">
        <v>23925.22</v>
      </c>
      <c r="H56" s="87">
        <v>-730623.64999999979</v>
      </c>
      <c r="J56" s="94">
        <f t="shared" si="7"/>
        <v>1177635.77</v>
      </c>
    </row>
    <row r="57" spans="2:10" x14ac:dyDescent="0.25">
      <c r="B57" t="s">
        <v>81</v>
      </c>
      <c r="C57">
        <v>2022</v>
      </c>
      <c r="D57" s="86">
        <v>70182</v>
      </c>
      <c r="E57" s="87">
        <v>2113006.96</v>
      </c>
      <c r="F57" s="87">
        <v>2101950.9</v>
      </c>
      <c r="G57" s="87">
        <v>11056.06</v>
      </c>
      <c r="H57" s="87">
        <v>-685903.48999999906</v>
      </c>
      <c r="J57" s="94">
        <f t="shared" si="7"/>
        <v>1427103.4700000009</v>
      </c>
    </row>
    <row r="58" spans="2:10" x14ac:dyDescent="0.25">
      <c r="B58" t="s">
        <v>82</v>
      </c>
      <c r="C58">
        <v>2022</v>
      </c>
      <c r="D58" s="86">
        <v>68757</v>
      </c>
      <c r="E58" s="87">
        <v>2084251.76</v>
      </c>
      <c r="F58" s="87">
        <v>2059272.15</v>
      </c>
      <c r="G58" s="87">
        <v>24979.61</v>
      </c>
      <c r="H58" s="87">
        <v>-851806.15999999922</v>
      </c>
      <c r="J58" s="94">
        <f t="shared" si="7"/>
        <v>1232445.6000000008</v>
      </c>
    </row>
    <row r="59" spans="2:10" x14ac:dyDescent="0.25">
      <c r="B59" t="s">
        <v>83</v>
      </c>
      <c r="C59">
        <v>2022</v>
      </c>
      <c r="D59" s="86">
        <v>62139</v>
      </c>
      <c r="E59" s="87">
        <v>1940100.57</v>
      </c>
      <c r="F59" s="87">
        <v>1861063.05</v>
      </c>
      <c r="G59" s="87">
        <v>79037.52</v>
      </c>
      <c r="H59" s="87">
        <v>-1423203.9500000009</v>
      </c>
      <c r="J59" s="94">
        <f t="shared" si="7"/>
        <v>516896.61999999918</v>
      </c>
    </row>
    <row r="60" spans="2:10" x14ac:dyDescent="0.25">
      <c r="B60" t="s">
        <v>84</v>
      </c>
      <c r="C60">
        <v>2022</v>
      </c>
      <c r="D60" s="86">
        <v>47722</v>
      </c>
      <c r="E60" s="87">
        <v>1526220.8399999999</v>
      </c>
      <c r="F60" s="87">
        <v>1429273.9</v>
      </c>
      <c r="G60" s="87">
        <v>96946.94</v>
      </c>
      <c r="H60" s="87">
        <v>-1555385.7999999986</v>
      </c>
      <c r="J60" s="94">
        <f t="shared" si="7"/>
        <v>-29164.959999998799</v>
      </c>
    </row>
    <row r="61" spans="2:10" x14ac:dyDescent="0.25">
      <c r="B61" t="s">
        <v>73</v>
      </c>
      <c r="C61">
        <v>2022</v>
      </c>
      <c r="D61" s="88">
        <v>35540</v>
      </c>
      <c r="E61" s="76">
        <v>1077563.07</v>
      </c>
      <c r="F61" s="76">
        <v>1064423</v>
      </c>
      <c r="G61" s="76">
        <v>13140.07</v>
      </c>
      <c r="H61" s="76">
        <v>-1760526.87</v>
      </c>
      <c r="J61" s="94">
        <f t="shared" si="7"/>
        <v>-682963.8</v>
      </c>
    </row>
    <row r="62" spans="2:10" x14ac:dyDescent="0.25">
      <c r="B62" t="s">
        <v>74</v>
      </c>
      <c r="C62">
        <v>2022</v>
      </c>
      <c r="D62" s="86">
        <v>34452</v>
      </c>
      <c r="E62" s="87">
        <v>1032075.56</v>
      </c>
      <c r="F62" s="87">
        <v>1031837.4</v>
      </c>
      <c r="G62" s="87">
        <v>238.16</v>
      </c>
      <c r="H62" s="87">
        <v>-1800131.63</v>
      </c>
      <c r="J62" s="94">
        <f t="shared" si="7"/>
        <v>-768056.06999999983</v>
      </c>
    </row>
    <row r="63" spans="2:10" x14ac:dyDescent="0.25">
      <c r="B63" t="s">
        <v>75</v>
      </c>
      <c r="C63">
        <v>2022</v>
      </c>
      <c r="D63" s="86">
        <v>47460</v>
      </c>
      <c r="E63" s="87">
        <v>1437089.36</v>
      </c>
      <c r="F63" s="87">
        <v>1421427</v>
      </c>
      <c r="G63" s="87">
        <v>15662.36</v>
      </c>
      <c r="H63" s="87">
        <v>-1398823.31</v>
      </c>
      <c r="J63" s="94">
        <f t="shared" si="7"/>
        <v>38266.050000000047</v>
      </c>
    </row>
    <row r="64" spans="2:10" x14ac:dyDescent="0.25">
      <c r="B64" t="s">
        <v>76</v>
      </c>
      <c r="C64">
        <v>2022</v>
      </c>
      <c r="D64" s="86">
        <v>53775</v>
      </c>
      <c r="E64" s="87">
        <v>1745891.23</v>
      </c>
      <c r="F64" s="87">
        <v>1610561.25</v>
      </c>
      <c r="G64" s="87">
        <v>135329.98000000001</v>
      </c>
      <c r="H64" s="87">
        <v>-1000961.4</v>
      </c>
      <c r="J64" s="94">
        <f t="shared" si="7"/>
        <v>744929.83</v>
      </c>
    </row>
    <row r="65" spans="1:10" x14ac:dyDescent="0.25">
      <c r="B65" t="s">
        <v>77</v>
      </c>
      <c r="C65">
        <v>2022</v>
      </c>
      <c r="D65" s="86">
        <v>78285</v>
      </c>
      <c r="E65" s="87">
        <v>2504702.2200000002</v>
      </c>
      <c r="F65" s="87">
        <v>2344635.75</v>
      </c>
      <c r="G65" s="87">
        <v>160066.47</v>
      </c>
      <c r="H65" s="87">
        <v>-1382347.83</v>
      </c>
      <c r="J65" s="94">
        <f t="shared" si="7"/>
        <v>1122354.3900000001</v>
      </c>
    </row>
    <row r="66" spans="1:10" x14ac:dyDescent="0.25">
      <c r="B66" t="s">
        <v>78</v>
      </c>
      <c r="C66">
        <v>2022</v>
      </c>
      <c r="D66" s="86">
        <v>69444</v>
      </c>
      <c r="E66" s="87">
        <v>2118594.2000000002</v>
      </c>
      <c r="F66" s="87">
        <v>2079847.8</v>
      </c>
      <c r="G66" s="87">
        <v>38746.400000000001</v>
      </c>
      <c r="H66" s="87">
        <v>-2013564.7</v>
      </c>
      <c r="J66" s="94">
        <f t="shared" si="7"/>
        <v>105029.50000000023</v>
      </c>
    </row>
    <row r="67" spans="1:10" ht="15.75" thickBot="1" x14ac:dyDescent="0.3">
      <c r="D67" s="75">
        <f>SUM(D49:D66)</f>
        <v>1004881</v>
      </c>
      <c r="E67" s="89">
        <f>SUM(E49:E66)</f>
        <v>30716768.5</v>
      </c>
      <c r="F67" s="89">
        <f t="shared" ref="F67:H67" si="8">SUM(F49:F66)</f>
        <v>30096185.949999999</v>
      </c>
      <c r="G67" s="89">
        <f t="shared" si="8"/>
        <v>620582.54999999993</v>
      </c>
      <c r="H67" s="89">
        <f t="shared" si="8"/>
        <v>-19929328.719999995</v>
      </c>
    </row>
    <row r="68" spans="1:10" ht="15.75" thickTop="1" x14ac:dyDescent="0.25">
      <c r="D68" s="75"/>
      <c r="E68" s="76"/>
      <c r="F68" s="76"/>
      <c r="G68" s="76"/>
      <c r="H68" s="76"/>
    </row>
    <row r="69" spans="1:10" x14ac:dyDescent="0.25">
      <c r="A69" s="92" t="s">
        <v>89</v>
      </c>
      <c r="B69" t="s">
        <v>84</v>
      </c>
      <c r="C69">
        <v>2021</v>
      </c>
      <c r="D69" s="75"/>
      <c r="E69" s="76">
        <v>950085.39</v>
      </c>
      <c r="F69" s="76">
        <v>949835.4</v>
      </c>
      <c r="G69" s="76">
        <f>E69-F69</f>
        <v>249.98999999999069</v>
      </c>
      <c r="H69" s="76">
        <v>-567271.9</v>
      </c>
      <c r="J69" s="94">
        <f t="shared" ref="J69:J87" si="9">E69+H69</f>
        <v>382813.49</v>
      </c>
    </row>
    <row r="70" spans="1:10" x14ac:dyDescent="0.25">
      <c r="B70" t="s">
        <v>73</v>
      </c>
      <c r="C70">
        <v>2021</v>
      </c>
      <c r="D70" s="85">
        <v>31914</v>
      </c>
      <c r="E70" s="76">
        <f t="shared" ref="E70:E75" si="10">F70+G70</f>
        <v>794433.59999999905</v>
      </c>
      <c r="F70" s="76">
        <v>794658.59999999905</v>
      </c>
      <c r="G70" s="76">
        <v>-225</v>
      </c>
      <c r="H70" s="76">
        <v>-768104.94999999949</v>
      </c>
      <c r="J70" s="94">
        <f t="shared" si="9"/>
        <v>26328.649999999558</v>
      </c>
    </row>
    <row r="71" spans="1:10" x14ac:dyDescent="0.25">
      <c r="B71" t="s">
        <v>74</v>
      </c>
      <c r="C71">
        <v>2021</v>
      </c>
      <c r="D71" s="85">
        <v>50086</v>
      </c>
      <c r="E71" s="76">
        <f t="shared" si="10"/>
        <v>1247316.4000000008</v>
      </c>
      <c r="F71" s="76">
        <v>1247141.4000000008</v>
      </c>
      <c r="G71" s="76">
        <v>175</v>
      </c>
      <c r="H71" s="76">
        <v>-1276606.3899999999</v>
      </c>
      <c r="J71" s="94">
        <f t="shared" si="9"/>
        <v>-29289.989999999059</v>
      </c>
    </row>
    <row r="72" spans="1:10" x14ac:dyDescent="0.25">
      <c r="B72" t="s">
        <v>75</v>
      </c>
      <c r="C72">
        <v>2021</v>
      </c>
      <c r="D72" s="75">
        <v>53468</v>
      </c>
      <c r="E72" s="76">
        <f t="shared" si="10"/>
        <v>1332778.2</v>
      </c>
      <c r="F72" s="76">
        <v>1331353.2</v>
      </c>
      <c r="G72" s="76">
        <v>1425</v>
      </c>
      <c r="H72" s="76">
        <v>-548234.05999999959</v>
      </c>
      <c r="J72" s="94">
        <f t="shared" si="9"/>
        <v>784544.14000000036</v>
      </c>
    </row>
    <row r="73" spans="1:10" x14ac:dyDescent="0.25">
      <c r="B73" t="s">
        <v>76</v>
      </c>
      <c r="C73">
        <v>2021</v>
      </c>
      <c r="D73" s="75">
        <v>52689</v>
      </c>
      <c r="E73" s="76">
        <f t="shared" si="10"/>
        <v>1393392.59</v>
      </c>
      <c r="F73" s="76">
        <v>1311956.1000000001</v>
      </c>
      <c r="G73" s="76">
        <f>86233.1-4796.61</f>
        <v>81436.490000000005</v>
      </c>
      <c r="H73" s="76">
        <v>-136358.51999999952</v>
      </c>
      <c r="J73" s="94">
        <f t="shared" si="9"/>
        <v>1257034.0700000005</v>
      </c>
    </row>
    <row r="74" spans="1:10" x14ac:dyDescent="0.25">
      <c r="B74" t="s">
        <v>77</v>
      </c>
      <c r="C74">
        <v>2021</v>
      </c>
      <c r="D74" s="75">
        <v>56730</v>
      </c>
      <c r="E74" s="76">
        <f t="shared" si="10"/>
        <v>1443777</v>
      </c>
      <c r="F74" s="76">
        <v>1412577</v>
      </c>
      <c r="G74" s="76">
        <v>31200</v>
      </c>
      <c r="H74" s="76">
        <v>-426030.96000000084</v>
      </c>
      <c r="J74" s="94">
        <f t="shared" si="9"/>
        <v>1017746.0399999991</v>
      </c>
    </row>
    <row r="75" spans="1:10" x14ac:dyDescent="0.25">
      <c r="B75" t="s">
        <v>78</v>
      </c>
      <c r="C75">
        <v>2021</v>
      </c>
      <c r="D75" s="75">
        <v>60312</v>
      </c>
      <c r="E75" s="76">
        <f t="shared" si="10"/>
        <v>1513377.83</v>
      </c>
      <c r="F75" s="76">
        <v>1501768.8</v>
      </c>
      <c r="G75" s="76">
        <v>11609.029999999999</v>
      </c>
      <c r="H75" s="76">
        <v>111979.03999999998</v>
      </c>
      <c r="J75" s="94">
        <f t="shared" si="9"/>
        <v>1625356.87</v>
      </c>
    </row>
    <row r="76" spans="1:10" x14ac:dyDescent="0.25">
      <c r="B76" t="s">
        <v>79</v>
      </c>
      <c r="C76">
        <v>2022</v>
      </c>
      <c r="D76" s="86">
        <v>53476</v>
      </c>
      <c r="E76" s="87">
        <v>1330414.5499999998</v>
      </c>
      <c r="F76" s="87">
        <v>1331552.3999999999</v>
      </c>
      <c r="G76" s="87">
        <v>-1137.8500000000004</v>
      </c>
      <c r="H76" s="87">
        <v>-80792.530000000494</v>
      </c>
      <c r="J76" s="94">
        <f t="shared" si="9"/>
        <v>1249622.0199999993</v>
      </c>
    </row>
    <row r="77" spans="1:10" x14ac:dyDescent="0.25">
      <c r="B77" t="s">
        <v>80</v>
      </c>
      <c r="C77">
        <v>2022</v>
      </c>
      <c r="D77" s="86">
        <v>54054</v>
      </c>
      <c r="E77" s="87">
        <v>1342327.1</v>
      </c>
      <c r="F77" s="87">
        <v>1345944.6</v>
      </c>
      <c r="G77" s="87">
        <v>-3617.5</v>
      </c>
      <c r="H77" s="87">
        <v>-43997.26000000006</v>
      </c>
      <c r="J77" s="94">
        <f t="shared" si="9"/>
        <v>1298329.8400000001</v>
      </c>
    </row>
    <row r="78" spans="1:10" x14ac:dyDescent="0.25">
      <c r="B78" t="s">
        <v>81</v>
      </c>
      <c r="C78">
        <v>2022</v>
      </c>
      <c r="D78" s="86">
        <v>57840</v>
      </c>
      <c r="E78" s="87">
        <v>1466116.08</v>
      </c>
      <c r="F78" s="87">
        <v>1440216</v>
      </c>
      <c r="G78" s="87">
        <v>25900.080000000002</v>
      </c>
      <c r="H78" s="87">
        <v>71137.869999999952</v>
      </c>
      <c r="J78" s="94">
        <f t="shared" si="9"/>
        <v>1537253.95</v>
      </c>
    </row>
    <row r="79" spans="1:10" x14ac:dyDescent="0.25">
      <c r="B79" t="s">
        <v>82</v>
      </c>
      <c r="C79">
        <v>2022</v>
      </c>
      <c r="D79" s="86">
        <v>54149</v>
      </c>
      <c r="E79" s="87">
        <v>2122949.14</v>
      </c>
      <c r="F79" s="87">
        <v>1348310.1</v>
      </c>
      <c r="G79" s="87">
        <v>774639.04</v>
      </c>
      <c r="H79" s="87">
        <v>69323.969999999768</v>
      </c>
      <c r="J79" s="94">
        <f t="shared" si="9"/>
        <v>2192273.11</v>
      </c>
    </row>
    <row r="80" spans="1:10" x14ac:dyDescent="0.25">
      <c r="B80" t="s">
        <v>83</v>
      </c>
      <c r="C80">
        <v>2022</v>
      </c>
      <c r="D80" s="86">
        <v>49460</v>
      </c>
      <c r="E80" s="87">
        <v>1896701.53</v>
      </c>
      <c r="F80" s="87">
        <v>1231554</v>
      </c>
      <c r="G80" s="87">
        <v>665147.53</v>
      </c>
      <c r="H80" s="87">
        <v>-572553.56000000064</v>
      </c>
      <c r="J80" s="94">
        <f t="shared" si="9"/>
        <v>1324147.9699999993</v>
      </c>
    </row>
    <row r="81" spans="1:10" x14ac:dyDescent="0.25">
      <c r="B81" t="s">
        <v>84</v>
      </c>
      <c r="C81">
        <v>2022</v>
      </c>
      <c r="D81" s="86">
        <v>36988</v>
      </c>
      <c r="E81" s="87">
        <v>996529.01</v>
      </c>
      <c r="F81" s="87">
        <v>921001.2</v>
      </c>
      <c r="G81" s="87">
        <v>75527.81</v>
      </c>
      <c r="H81" s="87">
        <v>-1048650.2500000002</v>
      </c>
      <c r="J81" s="94">
        <f t="shared" si="9"/>
        <v>-52121.240000000224</v>
      </c>
    </row>
    <row r="82" spans="1:10" x14ac:dyDescent="0.25">
      <c r="B82" t="s">
        <v>73</v>
      </c>
      <c r="C82">
        <v>2022</v>
      </c>
      <c r="D82" s="88">
        <v>41746</v>
      </c>
      <c r="E82" s="76">
        <v>1049175.3999999999</v>
      </c>
      <c r="F82" s="76">
        <v>1039475.4</v>
      </c>
      <c r="G82" s="76">
        <v>9700</v>
      </c>
      <c r="H82" s="76">
        <v>-1886617.89</v>
      </c>
      <c r="J82" s="94">
        <f t="shared" si="9"/>
        <v>-837442.49</v>
      </c>
    </row>
    <row r="83" spans="1:10" x14ac:dyDescent="0.25">
      <c r="B83" t="s">
        <v>74</v>
      </c>
      <c r="C83">
        <v>2022</v>
      </c>
      <c r="D83" s="86">
        <v>38288</v>
      </c>
      <c r="E83" s="87">
        <v>945195.71</v>
      </c>
      <c r="F83" s="87">
        <v>953371.2</v>
      </c>
      <c r="G83" s="87">
        <v>-8175.49</v>
      </c>
      <c r="H83" s="87">
        <v>-1991886.14</v>
      </c>
      <c r="J83" s="94">
        <f t="shared" si="9"/>
        <v>-1046690.4299999999</v>
      </c>
    </row>
    <row r="84" spans="1:10" x14ac:dyDescent="0.25">
      <c r="B84" t="s">
        <v>75</v>
      </c>
      <c r="C84">
        <v>2022</v>
      </c>
      <c r="D84" s="86">
        <v>45244</v>
      </c>
      <c r="E84" s="87">
        <v>1169862.5900000001</v>
      </c>
      <c r="F84" s="87">
        <v>1126575.6000000001</v>
      </c>
      <c r="G84" s="87">
        <v>43286.99</v>
      </c>
      <c r="H84" s="87">
        <v>-934349.95</v>
      </c>
      <c r="J84" s="94">
        <f t="shared" si="9"/>
        <v>235512.64000000013</v>
      </c>
    </row>
    <row r="85" spans="1:10" x14ac:dyDescent="0.25">
      <c r="B85" t="s">
        <v>76</v>
      </c>
      <c r="C85">
        <v>2022</v>
      </c>
      <c r="D85" s="86">
        <v>37398</v>
      </c>
      <c r="E85" s="87">
        <v>1062800.95</v>
      </c>
      <c r="F85" s="87">
        <v>931210.2</v>
      </c>
      <c r="G85" s="87">
        <v>131590.75</v>
      </c>
      <c r="H85" s="87">
        <v>-941002.28</v>
      </c>
      <c r="J85" s="94">
        <f t="shared" si="9"/>
        <v>121798.66999999993</v>
      </c>
    </row>
    <row r="86" spans="1:10" x14ac:dyDescent="0.25">
      <c r="B86" t="s">
        <v>77</v>
      </c>
      <c r="C86">
        <v>2022</v>
      </c>
      <c r="D86" s="86">
        <v>45313</v>
      </c>
      <c r="E86" s="87">
        <v>1822088</v>
      </c>
      <c r="F86" s="87">
        <v>1128293.7</v>
      </c>
      <c r="G86" s="87">
        <v>693794.3</v>
      </c>
      <c r="H86" s="87">
        <v>-421353.99</v>
      </c>
      <c r="J86" s="94">
        <f t="shared" si="9"/>
        <v>1400734.01</v>
      </c>
    </row>
    <row r="87" spans="1:10" x14ac:dyDescent="0.25">
      <c r="B87" t="s">
        <v>78</v>
      </c>
      <c r="C87">
        <v>2022</v>
      </c>
      <c r="D87" s="86">
        <v>49023</v>
      </c>
      <c r="E87" s="87">
        <v>1301552.6599999999</v>
      </c>
      <c r="F87" s="87">
        <v>1220672.7</v>
      </c>
      <c r="G87" s="87">
        <v>80879.960000000006</v>
      </c>
      <c r="H87" s="87">
        <v>-252322.8</v>
      </c>
      <c r="J87" s="94">
        <f t="shared" si="9"/>
        <v>1049229.8599999999</v>
      </c>
    </row>
    <row r="88" spans="1:10" ht="15.75" thickBot="1" x14ac:dyDescent="0.3">
      <c r="D88" s="75">
        <f>SUM(D70:D87)</f>
        <v>868178</v>
      </c>
      <c r="E88" s="89">
        <f>SUM(E70:E87)</f>
        <v>24230788.34</v>
      </c>
      <c r="F88" s="89">
        <f t="shared" ref="F88:H88" si="11">SUM(F70:F87)</f>
        <v>21617632.199999999</v>
      </c>
      <c r="G88" s="89">
        <f t="shared" si="11"/>
        <v>2613156.14</v>
      </c>
      <c r="H88" s="89">
        <f t="shared" si="11"/>
        <v>-11076420.65</v>
      </c>
    </row>
    <row r="89" spans="1:10" ht="15.75" thickTop="1" x14ac:dyDescent="0.25">
      <c r="D89" s="75"/>
      <c r="E89" s="76"/>
      <c r="F89" s="76"/>
      <c r="G89" s="76"/>
      <c r="H89" s="76"/>
    </row>
    <row r="90" spans="1:10" x14ac:dyDescent="0.25">
      <c r="A90" s="92" t="s">
        <v>90</v>
      </c>
      <c r="D90" s="75"/>
      <c r="E90" s="76">
        <v>811898.5</v>
      </c>
      <c r="F90" s="76">
        <v>811898.5</v>
      </c>
      <c r="G90" s="76">
        <f>E90-F90</f>
        <v>0</v>
      </c>
      <c r="H90" s="76">
        <v>-294259.43</v>
      </c>
      <c r="J90" s="94">
        <f t="shared" ref="J90:J108" si="12">E90+H90</f>
        <v>517639.07</v>
      </c>
    </row>
    <row r="91" spans="1:10" x14ac:dyDescent="0.25">
      <c r="A91" s="75"/>
      <c r="B91" t="s">
        <v>73</v>
      </c>
      <c r="C91">
        <v>2021</v>
      </c>
      <c r="D91" s="85">
        <v>25298</v>
      </c>
      <c r="E91" s="76">
        <f t="shared" ref="E91:E96" si="13">F91+G91</f>
        <v>745532.05999999901</v>
      </c>
      <c r="F91" s="76">
        <v>745532.05999999901</v>
      </c>
      <c r="G91" s="76">
        <v>0</v>
      </c>
      <c r="H91" s="76">
        <v>-607756.00999999931</v>
      </c>
      <c r="J91" s="94">
        <f t="shared" si="12"/>
        <v>137776.0499999997</v>
      </c>
    </row>
    <row r="92" spans="1:10" x14ac:dyDescent="0.25">
      <c r="A92" s="75"/>
      <c r="B92" t="s">
        <v>74</v>
      </c>
      <c r="C92">
        <v>2021</v>
      </c>
      <c r="D92" s="85">
        <v>35890</v>
      </c>
      <c r="E92" s="76">
        <f t="shared" si="13"/>
        <v>1057678.3000000012</v>
      </c>
      <c r="F92" s="76">
        <v>1057678.3000000012</v>
      </c>
      <c r="G92" s="76">
        <v>0</v>
      </c>
      <c r="H92" s="76">
        <v>-658070.96000000008</v>
      </c>
      <c r="J92" s="94">
        <f t="shared" si="12"/>
        <v>399607.34000000113</v>
      </c>
    </row>
    <row r="93" spans="1:10" x14ac:dyDescent="0.25">
      <c r="A93" s="75"/>
      <c r="B93" t="s">
        <v>75</v>
      </c>
      <c r="C93">
        <v>2021</v>
      </c>
      <c r="D93" s="75">
        <v>39312</v>
      </c>
      <c r="E93" s="76">
        <f t="shared" si="13"/>
        <v>1158524.6399999999</v>
      </c>
      <c r="F93" s="76">
        <v>1158524.6399999999</v>
      </c>
      <c r="G93" s="76">
        <v>0</v>
      </c>
      <c r="H93" s="76">
        <v>-485201.00999999989</v>
      </c>
      <c r="J93" s="94">
        <f t="shared" si="12"/>
        <v>673323.63</v>
      </c>
    </row>
    <row r="94" spans="1:10" x14ac:dyDescent="0.25">
      <c r="A94" s="75"/>
      <c r="B94" t="s">
        <v>76</v>
      </c>
      <c r="C94">
        <v>2021</v>
      </c>
      <c r="D94" s="75">
        <v>9715</v>
      </c>
      <c r="E94" s="76">
        <f t="shared" si="13"/>
        <v>286301.05</v>
      </c>
      <c r="F94" s="76">
        <v>286301.05</v>
      </c>
      <c r="G94" s="76">
        <v>0</v>
      </c>
      <c r="H94" s="76">
        <v>-325898.99000000011</v>
      </c>
      <c r="J94" s="94">
        <f t="shared" si="12"/>
        <v>-39597.940000000119</v>
      </c>
    </row>
    <row r="95" spans="1:10" x14ac:dyDescent="0.25">
      <c r="A95" s="75"/>
      <c r="B95" t="s">
        <v>77</v>
      </c>
      <c r="C95">
        <v>2021</v>
      </c>
      <c r="D95" s="75">
        <v>0</v>
      </c>
      <c r="E95" s="76">
        <f t="shared" si="13"/>
        <v>0</v>
      </c>
      <c r="F95" s="76">
        <v>0</v>
      </c>
      <c r="G95" s="76">
        <v>0</v>
      </c>
      <c r="H95" s="76">
        <v>-477126.32</v>
      </c>
      <c r="J95" s="94">
        <f t="shared" si="12"/>
        <v>-477126.32</v>
      </c>
    </row>
    <row r="96" spans="1:10" x14ac:dyDescent="0.25">
      <c r="A96" s="75"/>
      <c r="B96" t="s">
        <v>78</v>
      </c>
      <c r="C96">
        <v>2021</v>
      </c>
      <c r="D96" s="75">
        <v>13231</v>
      </c>
      <c r="E96" s="76">
        <f t="shared" si="13"/>
        <v>389917.57</v>
      </c>
      <c r="F96" s="76">
        <v>389917.57</v>
      </c>
      <c r="G96" s="76">
        <v>0</v>
      </c>
      <c r="H96" s="76">
        <v>-404424.66000000032</v>
      </c>
      <c r="J96" s="94">
        <f t="shared" si="12"/>
        <v>-14507.090000000317</v>
      </c>
    </row>
    <row r="97" spans="1:10" x14ac:dyDescent="0.25">
      <c r="A97" s="75"/>
      <c r="B97" t="s">
        <v>79</v>
      </c>
      <c r="C97">
        <v>2022</v>
      </c>
      <c r="D97" s="86">
        <v>35897</v>
      </c>
      <c r="E97" s="87">
        <v>1057884.5900000001</v>
      </c>
      <c r="F97" s="87">
        <v>1057884.5900000001</v>
      </c>
      <c r="G97" s="87">
        <v>0</v>
      </c>
      <c r="H97" s="87">
        <v>-410537.07999999961</v>
      </c>
      <c r="J97" s="94">
        <f t="shared" si="12"/>
        <v>647347.51000000047</v>
      </c>
    </row>
    <row r="98" spans="1:10" x14ac:dyDescent="0.25">
      <c r="A98" s="75"/>
      <c r="B98" t="s">
        <v>80</v>
      </c>
      <c r="C98">
        <v>2022</v>
      </c>
      <c r="D98" s="86">
        <v>37034</v>
      </c>
      <c r="E98" s="87">
        <v>1091391.98</v>
      </c>
      <c r="F98" s="87">
        <v>1091391.98</v>
      </c>
      <c r="G98" s="87">
        <v>0</v>
      </c>
      <c r="H98" s="87">
        <v>-375046.69999999995</v>
      </c>
      <c r="J98" s="94">
        <f t="shared" si="12"/>
        <v>716345.28</v>
      </c>
    </row>
    <row r="99" spans="1:10" x14ac:dyDescent="0.25">
      <c r="A99" s="75"/>
      <c r="B99" t="s">
        <v>81</v>
      </c>
      <c r="C99">
        <v>2022</v>
      </c>
      <c r="D99" s="86">
        <v>41822</v>
      </c>
      <c r="E99" s="87">
        <v>1232494.3400000001</v>
      </c>
      <c r="F99" s="87">
        <v>1232494.3400000001</v>
      </c>
      <c r="G99" s="87">
        <v>0</v>
      </c>
      <c r="H99" s="87">
        <v>-308790.23000000027</v>
      </c>
      <c r="J99" s="94">
        <f t="shared" si="12"/>
        <v>923704.10999999987</v>
      </c>
    </row>
    <row r="100" spans="1:10" x14ac:dyDescent="0.25">
      <c r="A100" s="75"/>
      <c r="B100" t="s">
        <v>82</v>
      </c>
      <c r="C100">
        <v>2022</v>
      </c>
      <c r="D100" s="86">
        <v>46448</v>
      </c>
      <c r="E100" s="87">
        <v>1368822.56</v>
      </c>
      <c r="F100" s="87">
        <v>1368822.56</v>
      </c>
      <c r="G100" s="87">
        <v>0</v>
      </c>
      <c r="H100" s="87">
        <v>-306685.49</v>
      </c>
      <c r="J100" s="94">
        <f t="shared" si="12"/>
        <v>1062137.07</v>
      </c>
    </row>
    <row r="101" spans="1:10" x14ac:dyDescent="0.25">
      <c r="A101" s="75"/>
      <c r="B101" t="s">
        <v>83</v>
      </c>
      <c r="C101">
        <v>2022</v>
      </c>
      <c r="D101" s="86">
        <v>42241</v>
      </c>
      <c r="E101" s="87">
        <v>1244842.27</v>
      </c>
      <c r="F101" s="87">
        <v>1244842.27</v>
      </c>
      <c r="G101" s="87">
        <v>0</v>
      </c>
      <c r="H101" s="87">
        <v>-808190.85999999917</v>
      </c>
      <c r="J101" s="94">
        <f t="shared" si="12"/>
        <v>436651.41000000085</v>
      </c>
    </row>
    <row r="102" spans="1:10" x14ac:dyDescent="0.25">
      <c r="A102" s="75"/>
      <c r="B102" t="s">
        <v>84</v>
      </c>
      <c r="C102">
        <v>2022</v>
      </c>
      <c r="D102" s="86">
        <v>37679</v>
      </c>
      <c r="E102" s="87">
        <v>1110400.1299999999</v>
      </c>
      <c r="F102" s="87">
        <v>1110400.1299999999</v>
      </c>
      <c r="G102" s="87">
        <v>0</v>
      </c>
      <c r="H102" s="87">
        <v>-954696.63999999978</v>
      </c>
      <c r="J102" s="94">
        <f t="shared" si="12"/>
        <v>155703.49000000011</v>
      </c>
    </row>
    <row r="103" spans="1:10" x14ac:dyDescent="0.25">
      <c r="A103" s="75"/>
      <c r="B103" t="s">
        <v>73</v>
      </c>
      <c r="C103">
        <v>2022</v>
      </c>
      <c r="D103" s="88">
        <v>28780</v>
      </c>
      <c r="E103" s="76">
        <v>848146.6</v>
      </c>
      <c r="F103" s="76">
        <v>848146.6</v>
      </c>
      <c r="G103" s="76">
        <v>0</v>
      </c>
      <c r="H103" s="76">
        <v>-1220085.3400000001</v>
      </c>
      <c r="J103" s="94">
        <f t="shared" si="12"/>
        <v>-371938.74000000011</v>
      </c>
    </row>
    <row r="104" spans="1:10" x14ac:dyDescent="0.25">
      <c r="A104" s="75"/>
      <c r="B104" t="s">
        <v>74</v>
      </c>
      <c r="C104">
        <v>2022</v>
      </c>
      <c r="D104" s="86">
        <v>24714</v>
      </c>
      <c r="E104" s="87">
        <v>728321.58</v>
      </c>
      <c r="F104" s="87">
        <v>728321.58</v>
      </c>
      <c r="G104" s="87">
        <v>0</v>
      </c>
      <c r="H104" s="87">
        <v>-1181382.33</v>
      </c>
      <c r="J104" s="94">
        <f t="shared" si="12"/>
        <v>-453060.75000000012</v>
      </c>
    </row>
    <row r="105" spans="1:10" x14ac:dyDescent="0.25">
      <c r="A105" s="75"/>
      <c r="B105" t="s">
        <v>75</v>
      </c>
      <c r="C105">
        <v>2022</v>
      </c>
      <c r="D105" s="86">
        <v>31901</v>
      </c>
      <c r="E105" s="87">
        <v>940122.47</v>
      </c>
      <c r="F105" s="87">
        <v>940122.47</v>
      </c>
      <c r="G105" s="87">
        <v>0</v>
      </c>
      <c r="H105" s="87">
        <v>-628654.17000000004</v>
      </c>
      <c r="J105" s="94">
        <f t="shared" si="12"/>
        <v>311468.29999999993</v>
      </c>
    </row>
    <row r="106" spans="1:10" x14ac:dyDescent="0.25">
      <c r="A106" s="75"/>
      <c r="B106" t="s">
        <v>76</v>
      </c>
      <c r="C106">
        <v>2022</v>
      </c>
      <c r="D106" s="86">
        <v>17457</v>
      </c>
      <c r="E106" s="87">
        <v>514457.79</v>
      </c>
      <c r="F106" s="87">
        <v>514457.79</v>
      </c>
      <c r="G106" s="87">
        <v>0</v>
      </c>
      <c r="H106" s="87">
        <v>-485777.32</v>
      </c>
      <c r="J106" s="94">
        <f t="shared" si="12"/>
        <v>28680.469999999972</v>
      </c>
    </row>
    <row r="107" spans="1:10" x14ac:dyDescent="0.25">
      <c r="A107" s="75"/>
      <c r="B107" t="s">
        <v>77</v>
      </c>
      <c r="C107">
        <v>2022</v>
      </c>
      <c r="D107" s="86">
        <v>16832</v>
      </c>
      <c r="E107" s="87">
        <v>1792318.6</v>
      </c>
      <c r="F107" s="87">
        <v>496039.04</v>
      </c>
      <c r="G107" s="87">
        <v>1296279.56</v>
      </c>
      <c r="H107" s="87">
        <v>-451200.91</v>
      </c>
      <c r="J107" s="94">
        <f t="shared" si="12"/>
        <v>1341117.6900000002</v>
      </c>
    </row>
    <row r="108" spans="1:10" x14ac:dyDescent="0.25">
      <c r="B108" t="s">
        <v>78</v>
      </c>
      <c r="C108">
        <v>2022</v>
      </c>
      <c r="D108" s="86">
        <v>19367</v>
      </c>
      <c r="E108" s="87">
        <v>900243.16999999993</v>
      </c>
      <c r="F108" s="87">
        <v>570745.49</v>
      </c>
      <c r="G108" s="87">
        <v>329497.68</v>
      </c>
      <c r="H108" s="87">
        <v>-655179.31999999995</v>
      </c>
      <c r="J108" s="87">
        <f t="shared" si="12"/>
        <v>245063.84999999998</v>
      </c>
    </row>
    <row r="109" spans="1:10" ht="15.75" thickBot="1" x14ac:dyDescent="0.3">
      <c r="D109" s="75">
        <f>SUM(D91:D108)</f>
        <v>503618</v>
      </c>
      <c r="E109" s="89">
        <f>SUM(E91:E108)</f>
        <v>16467399.699999997</v>
      </c>
      <c r="F109" s="89">
        <f t="shared" ref="F109:H109" si="14">SUM(F91:F108)</f>
        <v>14841622.459999997</v>
      </c>
      <c r="G109" s="89">
        <f t="shared" si="14"/>
        <v>1625777.24</v>
      </c>
      <c r="H109" s="89">
        <f t="shared" si="14"/>
        <v>-10744704.339999998</v>
      </c>
      <c r="J109" s="89"/>
    </row>
    <row r="110" spans="1:10" ht="15.75" thickTop="1" x14ac:dyDescent="0.25">
      <c r="D110" s="75"/>
      <c r="E110" s="76"/>
      <c r="F110" s="76"/>
      <c r="G110" s="76"/>
      <c r="H110" s="76"/>
    </row>
    <row r="111" spans="1:10" x14ac:dyDescent="0.25">
      <c r="A111" s="92" t="s">
        <v>91</v>
      </c>
      <c r="D111" s="75"/>
      <c r="E111" s="76">
        <v>804641.03</v>
      </c>
      <c r="F111" s="76">
        <v>1077195</v>
      </c>
      <c r="G111" s="76">
        <f>E111-F111</f>
        <v>-272553.96999999997</v>
      </c>
      <c r="H111" s="76">
        <v>-695925.38</v>
      </c>
      <c r="J111" s="87">
        <f t="shared" ref="J111:J129" si="15">E111+H111</f>
        <v>108715.65000000002</v>
      </c>
    </row>
    <row r="112" spans="1:10" x14ac:dyDescent="0.25">
      <c r="B112" t="s">
        <v>73</v>
      </c>
      <c r="C112">
        <v>2021</v>
      </c>
      <c r="D112" s="85">
        <v>32866</v>
      </c>
      <c r="E112" s="76">
        <f t="shared" ref="E112:E117" si="16">F112+G112</f>
        <v>1004809.3099999989</v>
      </c>
      <c r="F112" s="76">
        <v>862732.49999999895</v>
      </c>
      <c r="G112" s="76">
        <v>142076.81</v>
      </c>
      <c r="H112" s="76">
        <v>-702990.31000000029</v>
      </c>
      <c r="J112" s="87">
        <f t="shared" si="15"/>
        <v>301818.9999999986</v>
      </c>
    </row>
    <row r="113" spans="2:10" x14ac:dyDescent="0.25">
      <c r="B113" t="s">
        <v>74</v>
      </c>
      <c r="C113">
        <v>2021</v>
      </c>
      <c r="D113" s="85">
        <v>61992</v>
      </c>
      <c r="E113" s="76">
        <f t="shared" si="16"/>
        <v>1734628.5200000009</v>
      </c>
      <c r="F113" s="76">
        <v>1627290.0000000009</v>
      </c>
      <c r="G113" s="76">
        <v>107338.51999999999</v>
      </c>
      <c r="H113" s="76">
        <v>-1395953.4000000006</v>
      </c>
      <c r="J113" s="87">
        <f t="shared" si="15"/>
        <v>338675.12000000034</v>
      </c>
    </row>
    <row r="114" spans="2:10" x14ac:dyDescent="0.25">
      <c r="B114" t="s">
        <v>75</v>
      </c>
      <c r="C114">
        <v>2021</v>
      </c>
      <c r="D114" s="75">
        <v>69037</v>
      </c>
      <c r="E114" s="76">
        <f t="shared" si="16"/>
        <v>1861026.28</v>
      </c>
      <c r="F114" s="76">
        <v>1812221.25</v>
      </c>
      <c r="G114" s="76">
        <v>48805.03</v>
      </c>
      <c r="H114" s="76">
        <v>-740775.68</v>
      </c>
      <c r="J114" s="87">
        <f t="shared" si="15"/>
        <v>1120250.6000000001</v>
      </c>
    </row>
    <row r="115" spans="2:10" x14ac:dyDescent="0.25">
      <c r="B115" t="s">
        <v>76</v>
      </c>
      <c r="C115">
        <v>2021</v>
      </c>
      <c r="D115" s="75">
        <v>62109</v>
      </c>
      <c r="E115" s="76">
        <f t="shared" si="16"/>
        <v>2371519.0499999998</v>
      </c>
      <c r="F115" s="76">
        <v>1630361.25</v>
      </c>
      <c r="G115" s="76">
        <f>544940.89+196216.91</f>
        <v>741157.8</v>
      </c>
      <c r="H115" s="76">
        <v>-981701.32999999763</v>
      </c>
      <c r="J115" s="87">
        <f t="shared" si="15"/>
        <v>1389817.7200000021</v>
      </c>
    </row>
    <row r="116" spans="2:10" x14ac:dyDescent="0.25">
      <c r="B116" t="s">
        <v>77</v>
      </c>
      <c r="C116">
        <v>2021</v>
      </c>
      <c r="D116" s="75">
        <v>68259</v>
      </c>
      <c r="E116" s="76">
        <f t="shared" si="16"/>
        <v>2605798.75</v>
      </c>
      <c r="F116" s="76">
        <v>1791798.75</v>
      </c>
      <c r="G116" s="76">
        <v>814000</v>
      </c>
      <c r="H116" s="76">
        <v>-1107669.1000000008</v>
      </c>
      <c r="J116" s="87">
        <f t="shared" si="15"/>
        <v>1498129.6499999992</v>
      </c>
    </row>
    <row r="117" spans="2:10" x14ac:dyDescent="0.25">
      <c r="B117" t="s">
        <v>78</v>
      </c>
      <c r="C117">
        <v>2021</v>
      </c>
      <c r="D117" s="75">
        <v>70433</v>
      </c>
      <c r="E117" s="76">
        <f t="shared" si="16"/>
        <v>3013595.54</v>
      </c>
      <c r="F117" s="76">
        <v>1848866.25</v>
      </c>
      <c r="G117" s="76">
        <v>1164729.29</v>
      </c>
      <c r="H117" s="76">
        <v>-349651.2099999999</v>
      </c>
      <c r="J117" s="87">
        <f t="shared" si="15"/>
        <v>2663944.33</v>
      </c>
    </row>
    <row r="118" spans="2:10" x14ac:dyDescent="0.25">
      <c r="B118" t="s">
        <v>79</v>
      </c>
      <c r="C118">
        <v>2022</v>
      </c>
      <c r="D118" s="86">
        <v>65107</v>
      </c>
      <c r="E118" s="87">
        <v>2579311.0099999998</v>
      </c>
      <c r="F118" s="87">
        <v>1709058.75</v>
      </c>
      <c r="G118" s="87">
        <v>870252.26</v>
      </c>
      <c r="H118" s="87">
        <v>-307399.74000000011</v>
      </c>
      <c r="J118" s="87">
        <f t="shared" si="15"/>
        <v>2271911.2699999996</v>
      </c>
    </row>
    <row r="119" spans="2:10" x14ac:dyDescent="0.25">
      <c r="B119" t="s">
        <v>80</v>
      </c>
      <c r="C119">
        <v>2022</v>
      </c>
      <c r="D119" s="86">
        <v>68667</v>
      </c>
      <c r="E119" s="87">
        <v>2278622.46</v>
      </c>
      <c r="F119" s="87">
        <v>1802508.75</v>
      </c>
      <c r="G119" s="87">
        <v>476113.70999999996</v>
      </c>
      <c r="H119" s="87">
        <v>-530083.80000000028</v>
      </c>
      <c r="J119" s="87">
        <f t="shared" si="15"/>
        <v>1748538.6599999997</v>
      </c>
    </row>
    <row r="120" spans="2:10" x14ac:dyDescent="0.25">
      <c r="B120" t="s">
        <v>81</v>
      </c>
      <c r="C120">
        <v>2022</v>
      </c>
      <c r="D120" s="86">
        <v>66451</v>
      </c>
      <c r="E120" s="87">
        <v>4785897.4399999995</v>
      </c>
      <c r="F120" s="87">
        <v>1744338.75</v>
      </c>
      <c r="G120" s="87">
        <v>3041558.6899999995</v>
      </c>
      <c r="H120" s="87">
        <v>-458480.89000000036</v>
      </c>
      <c r="J120" s="87">
        <f t="shared" si="15"/>
        <v>4327416.5499999989</v>
      </c>
    </row>
    <row r="121" spans="2:10" x14ac:dyDescent="0.25">
      <c r="B121" t="s">
        <v>82</v>
      </c>
      <c r="C121">
        <v>2022</v>
      </c>
      <c r="D121" s="86">
        <v>75046</v>
      </c>
      <c r="E121" s="87">
        <v>2639038.91</v>
      </c>
      <c r="F121" s="87">
        <v>1969957.5</v>
      </c>
      <c r="G121" s="87">
        <v>669081.40999999992</v>
      </c>
      <c r="H121" s="87">
        <v>-329220.97999999952</v>
      </c>
      <c r="J121" s="87">
        <f t="shared" si="15"/>
        <v>2309817.9300000006</v>
      </c>
    </row>
    <row r="122" spans="2:10" x14ac:dyDescent="0.25">
      <c r="B122" t="s">
        <v>83</v>
      </c>
      <c r="C122">
        <v>2022</v>
      </c>
      <c r="D122" s="86">
        <v>69906</v>
      </c>
      <c r="E122" s="87">
        <v>1826933.1</v>
      </c>
      <c r="F122" s="87">
        <v>1835032.5</v>
      </c>
      <c r="G122" s="87">
        <v>-8099.4000000000233</v>
      </c>
      <c r="H122" s="87">
        <v>-1664504.6400000004</v>
      </c>
      <c r="J122" s="87">
        <f t="shared" si="15"/>
        <v>162428.45999999973</v>
      </c>
    </row>
    <row r="123" spans="2:10" x14ac:dyDescent="0.25">
      <c r="B123" t="s">
        <v>84</v>
      </c>
      <c r="C123">
        <v>2022</v>
      </c>
      <c r="D123" s="86">
        <v>52986</v>
      </c>
      <c r="E123" s="87">
        <v>1504382.5</v>
      </c>
      <c r="F123" s="87">
        <v>1390882.5</v>
      </c>
      <c r="G123" s="87">
        <v>113500</v>
      </c>
      <c r="H123" s="87">
        <v>-1493355.6800000009</v>
      </c>
      <c r="J123" s="87">
        <f t="shared" si="15"/>
        <v>11026.819999999134</v>
      </c>
    </row>
    <row r="124" spans="2:10" x14ac:dyDescent="0.25">
      <c r="B124" t="s">
        <v>73</v>
      </c>
      <c r="C124">
        <v>2022</v>
      </c>
      <c r="D124" s="88">
        <v>47908</v>
      </c>
      <c r="E124" s="76">
        <v>1322468.3</v>
      </c>
      <c r="F124" s="76">
        <v>1257585</v>
      </c>
      <c r="G124" s="76">
        <v>64883.3</v>
      </c>
      <c r="H124" s="76">
        <v>-2081825.23</v>
      </c>
      <c r="J124" s="87">
        <f t="shared" si="15"/>
        <v>-759356.92999999993</v>
      </c>
    </row>
    <row r="125" spans="2:10" x14ac:dyDescent="0.25">
      <c r="B125" t="s">
        <v>74</v>
      </c>
      <c r="C125">
        <v>2022</v>
      </c>
      <c r="D125" s="86">
        <v>47257</v>
      </c>
      <c r="E125" s="87">
        <v>1243991.3999999999</v>
      </c>
      <c r="F125" s="87">
        <v>1240496.25</v>
      </c>
      <c r="G125" s="87">
        <v>3495.15</v>
      </c>
      <c r="H125" s="87">
        <v>-2116127.73</v>
      </c>
      <c r="J125" s="87">
        <f t="shared" si="15"/>
        <v>-872136.33000000007</v>
      </c>
    </row>
    <row r="126" spans="2:10" x14ac:dyDescent="0.25">
      <c r="B126" t="s">
        <v>75</v>
      </c>
      <c r="C126">
        <v>2022</v>
      </c>
      <c r="D126" s="86">
        <v>57619</v>
      </c>
      <c r="E126" s="87">
        <v>1665528.2</v>
      </c>
      <c r="F126" s="87">
        <v>1512498.75</v>
      </c>
      <c r="G126" s="87">
        <v>153029.45000000001</v>
      </c>
      <c r="H126" s="87">
        <v>-1164153.3899999999</v>
      </c>
      <c r="J126" s="87">
        <f t="shared" si="15"/>
        <v>501374.81000000006</v>
      </c>
    </row>
    <row r="127" spans="2:10" x14ac:dyDescent="0.25">
      <c r="B127" t="s">
        <v>76</v>
      </c>
      <c r="C127">
        <v>2022</v>
      </c>
      <c r="D127" s="86">
        <v>61645</v>
      </c>
      <c r="E127" s="87">
        <v>1780196.87</v>
      </c>
      <c r="F127" s="87">
        <v>1618181.25</v>
      </c>
      <c r="G127" s="87">
        <v>162015.62</v>
      </c>
      <c r="H127" s="87">
        <v>-2020497.87</v>
      </c>
      <c r="J127" s="87">
        <f t="shared" si="15"/>
        <v>-240301</v>
      </c>
    </row>
    <row r="128" spans="2:10" x14ac:dyDescent="0.25">
      <c r="B128" t="s">
        <v>77</v>
      </c>
      <c r="C128">
        <v>2022</v>
      </c>
      <c r="D128" s="86">
        <v>82860</v>
      </c>
      <c r="E128" s="87">
        <v>2257345.25</v>
      </c>
      <c r="F128" s="87">
        <v>2175075</v>
      </c>
      <c r="G128" s="87">
        <v>82270.25</v>
      </c>
      <c r="H128" s="87">
        <v>-2123234.54</v>
      </c>
      <c r="J128" s="87">
        <f t="shared" si="15"/>
        <v>134110.70999999996</v>
      </c>
    </row>
    <row r="129" spans="1:10" x14ac:dyDescent="0.25">
      <c r="B129" t="s">
        <v>78</v>
      </c>
      <c r="C129">
        <v>2022</v>
      </c>
      <c r="D129" s="86">
        <v>56453</v>
      </c>
      <c r="E129" s="87">
        <v>1857791.25</v>
      </c>
      <c r="F129" s="87">
        <v>1481891.25</v>
      </c>
      <c r="G129" s="87">
        <v>375900</v>
      </c>
      <c r="H129" s="87">
        <v>-321905.8</v>
      </c>
      <c r="J129" s="87">
        <f t="shared" si="15"/>
        <v>1535885.45</v>
      </c>
    </row>
    <row r="130" spans="1:10" ht="15.75" thickBot="1" x14ac:dyDescent="0.3">
      <c r="D130" s="75">
        <f>SUM(D112:D129)</f>
        <v>1116601</v>
      </c>
      <c r="E130" s="89">
        <f>SUM(E112:E129)</f>
        <v>38332884.140000001</v>
      </c>
      <c r="F130" s="89">
        <f t="shared" ref="F130:H130" si="17">SUM(F112:F129)</f>
        <v>29310776.25</v>
      </c>
      <c r="G130" s="89">
        <f t="shared" si="17"/>
        <v>9022107.8899999987</v>
      </c>
      <c r="H130" s="89">
        <f t="shared" si="17"/>
        <v>-19889531.320000004</v>
      </c>
    </row>
    <row r="131" spans="1:10" ht="15.75" thickTop="1" x14ac:dyDescent="0.25">
      <c r="D131" s="75"/>
      <c r="E131" s="76"/>
      <c r="F131" s="76"/>
      <c r="G131" s="76"/>
      <c r="H131" s="76"/>
    </row>
    <row r="132" spans="1:10" x14ac:dyDescent="0.25">
      <c r="A132" t="s">
        <v>92</v>
      </c>
      <c r="D132" s="75"/>
      <c r="E132" s="76">
        <v>405513.83</v>
      </c>
      <c r="F132" s="76">
        <v>208284.75</v>
      </c>
      <c r="G132" s="76">
        <f>E132-F132</f>
        <v>197229.08000000002</v>
      </c>
      <c r="H132" s="76">
        <v>-214678.35</v>
      </c>
      <c r="J132" s="87">
        <f t="shared" ref="J132:J150" si="18">E132+H132</f>
        <v>190835.48</v>
      </c>
    </row>
    <row r="133" spans="1:10" x14ac:dyDescent="0.25">
      <c r="B133" t="s">
        <v>73</v>
      </c>
      <c r="C133">
        <v>2021</v>
      </c>
      <c r="D133" s="85">
        <v>25891</v>
      </c>
      <c r="E133" s="76">
        <f t="shared" ref="E133:E138" si="19">F133+G133</f>
        <v>376235.56</v>
      </c>
      <c r="F133" s="76">
        <v>371535.85</v>
      </c>
      <c r="G133" s="76">
        <v>4699.71</v>
      </c>
      <c r="H133" s="76">
        <v>-511153.95000000077</v>
      </c>
      <c r="J133" s="87">
        <f t="shared" si="18"/>
        <v>-134918.39000000077</v>
      </c>
    </row>
    <row r="134" spans="1:10" x14ac:dyDescent="0.25">
      <c r="B134" t="s">
        <v>74</v>
      </c>
      <c r="C134">
        <v>2021</v>
      </c>
      <c r="D134" s="85">
        <v>36886</v>
      </c>
      <c r="E134" s="76">
        <f t="shared" si="19"/>
        <v>529879.94999999995</v>
      </c>
      <c r="F134" s="76">
        <v>529314.1</v>
      </c>
      <c r="G134" s="76">
        <v>565.85</v>
      </c>
      <c r="H134" s="76">
        <v>-670326.58999999973</v>
      </c>
      <c r="J134" s="87">
        <f t="shared" si="18"/>
        <v>-140446.63999999978</v>
      </c>
    </row>
    <row r="135" spans="1:10" x14ac:dyDescent="0.25">
      <c r="B135" t="s">
        <v>75</v>
      </c>
      <c r="C135">
        <v>2021</v>
      </c>
      <c r="D135" s="75">
        <v>39536</v>
      </c>
      <c r="E135" s="76">
        <f t="shared" si="19"/>
        <v>575620.07999999996</v>
      </c>
      <c r="F135" s="76">
        <v>567341.6</v>
      </c>
      <c r="G135" s="76">
        <v>8278.48</v>
      </c>
      <c r="H135" s="76">
        <v>-221982.35000000012</v>
      </c>
      <c r="J135" s="87">
        <f t="shared" si="18"/>
        <v>353637.72999999986</v>
      </c>
    </row>
    <row r="136" spans="1:10" x14ac:dyDescent="0.25">
      <c r="B136" t="s">
        <v>76</v>
      </c>
      <c r="C136">
        <v>2021</v>
      </c>
      <c r="D136" s="75">
        <v>38973</v>
      </c>
      <c r="E136" s="76">
        <f t="shared" si="19"/>
        <v>576953.54</v>
      </c>
      <c r="F136" s="76">
        <v>559262.55000000005</v>
      </c>
      <c r="G136" s="76">
        <f>12249.11+5441.88</f>
        <v>17690.990000000002</v>
      </c>
      <c r="H136" s="76">
        <v>-82763.639999999825</v>
      </c>
      <c r="J136" s="87">
        <f t="shared" si="18"/>
        <v>494189.9000000002</v>
      </c>
    </row>
    <row r="137" spans="1:10" x14ac:dyDescent="0.25">
      <c r="B137" t="s">
        <v>77</v>
      </c>
      <c r="C137">
        <v>2021</v>
      </c>
      <c r="D137" s="75">
        <v>40446</v>
      </c>
      <c r="E137" s="76">
        <f t="shared" si="19"/>
        <v>580400.1</v>
      </c>
      <c r="F137" s="76">
        <v>580400.1</v>
      </c>
      <c r="G137" s="76">
        <v>0</v>
      </c>
      <c r="H137" s="76">
        <v>-157128.80999999939</v>
      </c>
      <c r="J137" s="87">
        <f t="shared" si="18"/>
        <v>423271.29000000062</v>
      </c>
    </row>
    <row r="138" spans="1:10" x14ac:dyDescent="0.25">
      <c r="B138" t="s">
        <v>78</v>
      </c>
      <c r="C138">
        <v>2021</v>
      </c>
      <c r="D138" s="75">
        <v>46296</v>
      </c>
      <c r="E138" s="76">
        <f t="shared" si="19"/>
        <v>668595.63</v>
      </c>
      <c r="F138" s="76">
        <v>664347.6</v>
      </c>
      <c r="G138" s="76">
        <v>4248.03</v>
      </c>
      <c r="H138" s="76">
        <v>64936.130000000092</v>
      </c>
      <c r="J138" s="87">
        <f t="shared" si="18"/>
        <v>733531.76000000013</v>
      </c>
    </row>
    <row r="139" spans="1:10" x14ac:dyDescent="0.25">
      <c r="B139" t="s">
        <v>79</v>
      </c>
      <c r="C139">
        <v>2022</v>
      </c>
      <c r="D139" s="86">
        <v>43073</v>
      </c>
      <c r="E139" s="87">
        <v>623585.66</v>
      </c>
      <c r="F139" s="87">
        <v>618097.55000000005</v>
      </c>
      <c r="G139" s="87">
        <v>5488.11</v>
      </c>
      <c r="H139" s="87">
        <v>-7648.3199999999124</v>
      </c>
      <c r="J139" s="87">
        <f t="shared" si="18"/>
        <v>615937.34000000008</v>
      </c>
    </row>
    <row r="140" spans="1:10" x14ac:dyDescent="0.25">
      <c r="B140" t="s">
        <v>80</v>
      </c>
      <c r="C140">
        <v>2022</v>
      </c>
      <c r="D140" s="86">
        <v>42668</v>
      </c>
      <c r="E140" s="87">
        <v>612996.42000000004</v>
      </c>
      <c r="F140" s="87">
        <v>612285.80000000005</v>
      </c>
      <c r="G140" s="87">
        <v>710.62</v>
      </c>
      <c r="H140" s="87">
        <v>-45815.890000000225</v>
      </c>
      <c r="J140" s="87">
        <f t="shared" si="18"/>
        <v>567180.5299999998</v>
      </c>
    </row>
    <row r="141" spans="1:10" x14ac:dyDescent="0.25">
      <c r="B141" t="s">
        <v>81</v>
      </c>
      <c r="C141">
        <v>2022</v>
      </c>
      <c r="D141" s="86">
        <v>48712</v>
      </c>
      <c r="E141" s="87">
        <v>699550.79999999993</v>
      </c>
      <c r="F141" s="87">
        <v>699017.2</v>
      </c>
      <c r="G141" s="87">
        <v>533.6</v>
      </c>
      <c r="H141" s="87">
        <v>179761.65999999974</v>
      </c>
      <c r="J141" s="87">
        <f t="shared" si="18"/>
        <v>879312.45999999973</v>
      </c>
    </row>
    <row r="142" spans="1:10" x14ac:dyDescent="0.25">
      <c r="B142" t="s">
        <v>82</v>
      </c>
      <c r="C142">
        <v>2022</v>
      </c>
      <c r="D142" s="86">
        <v>53352</v>
      </c>
      <c r="E142" s="87">
        <v>776208.08</v>
      </c>
      <c r="F142" s="87">
        <v>765601.2</v>
      </c>
      <c r="G142" s="87">
        <v>10606.88</v>
      </c>
      <c r="H142" s="87">
        <v>436529.56000000029</v>
      </c>
      <c r="J142" s="87">
        <f t="shared" si="18"/>
        <v>1212737.6400000001</v>
      </c>
    </row>
    <row r="143" spans="1:10" x14ac:dyDescent="0.25">
      <c r="B143" t="s">
        <v>83</v>
      </c>
      <c r="C143">
        <v>2022</v>
      </c>
      <c r="D143" s="86">
        <v>48815</v>
      </c>
      <c r="E143" s="87">
        <v>739128.25</v>
      </c>
      <c r="F143" s="87">
        <v>700495.25</v>
      </c>
      <c r="G143" s="87">
        <v>38633</v>
      </c>
      <c r="H143" s="87">
        <v>-576800.06999999925</v>
      </c>
      <c r="J143" s="87">
        <f t="shared" si="18"/>
        <v>162328.18000000075</v>
      </c>
    </row>
    <row r="144" spans="1:10" x14ac:dyDescent="0.25">
      <c r="B144" t="s">
        <v>84</v>
      </c>
      <c r="C144">
        <v>2022</v>
      </c>
      <c r="D144" s="86">
        <v>38506</v>
      </c>
      <c r="E144" s="87">
        <v>552798.81999999995</v>
      </c>
      <c r="F144" s="87">
        <v>552561.1</v>
      </c>
      <c r="G144" s="87">
        <v>237.72</v>
      </c>
      <c r="H144" s="87">
        <v>-826922.15999999968</v>
      </c>
      <c r="J144" s="87">
        <f t="shared" si="18"/>
        <v>-274123.33999999973</v>
      </c>
    </row>
    <row r="145" spans="1:10" x14ac:dyDescent="0.25">
      <c r="B145" t="s">
        <v>73</v>
      </c>
      <c r="C145">
        <v>2022</v>
      </c>
      <c r="D145" s="88">
        <v>28703</v>
      </c>
      <c r="E145" s="76">
        <v>426972.56</v>
      </c>
      <c r="F145" s="76">
        <v>411888.05</v>
      </c>
      <c r="G145" s="76">
        <v>15084.51</v>
      </c>
      <c r="H145" s="76">
        <v>-1084517.07</v>
      </c>
      <c r="J145" s="87">
        <f t="shared" si="18"/>
        <v>-657544.51</v>
      </c>
    </row>
    <row r="146" spans="1:10" x14ac:dyDescent="0.25">
      <c r="B146" t="s">
        <v>74</v>
      </c>
      <c r="C146">
        <v>2022</v>
      </c>
      <c r="D146" s="86">
        <v>25032</v>
      </c>
      <c r="E146" s="87">
        <v>372937.60000000003</v>
      </c>
      <c r="F146" s="87">
        <v>359209.2</v>
      </c>
      <c r="G146" s="87">
        <v>13728.4</v>
      </c>
      <c r="H146" s="87">
        <v>-1187188.4099999999</v>
      </c>
      <c r="J146" s="87">
        <f t="shared" si="18"/>
        <v>-814250.80999999982</v>
      </c>
    </row>
    <row r="147" spans="1:10" x14ac:dyDescent="0.25">
      <c r="B147" t="s">
        <v>75</v>
      </c>
      <c r="C147">
        <v>2022</v>
      </c>
      <c r="D147" s="86">
        <v>35679</v>
      </c>
      <c r="E147" s="87">
        <v>524568.1</v>
      </c>
      <c r="F147" s="87">
        <v>511993.65</v>
      </c>
      <c r="G147" s="87">
        <v>12574.45</v>
      </c>
      <c r="H147" s="87">
        <v>-762561.92</v>
      </c>
      <c r="J147" s="87">
        <f t="shared" si="18"/>
        <v>-237993.82000000007</v>
      </c>
    </row>
    <row r="148" spans="1:10" x14ac:dyDescent="0.25">
      <c r="B148" t="s">
        <v>76</v>
      </c>
      <c r="C148">
        <v>2022</v>
      </c>
      <c r="D148" s="86">
        <v>30173</v>
      </c>
      <c r="E148" s="87">
        <v>439601.1</v>
      </c>
      <c r="F148" s="87">
        <v>432982.55</v>
      </c>
      <c r="G148" s="87">
        <v>6618.55</v>
      </c>
      <c r="H148" s="87">
        <v>-342147.74</v>
      </c>
      <c r="J148" s="87">
        <f t="shared" si="18"/>
        <v>97453.359999999986</v>
      </c>
    </row>
    <row r="149" spans="1:10" x14ac:dyDescent="0.25">
      <c r="B149" t="s">
        <v>77</v>
      </c>
      <c r="C149">
        <v>2022</v>
      </c>
      <c r="D149" s="86">
        <v>47472</v>
      </c>
      <c r="E149" s="87">
        <v>785399.35</v>
      </c>
      <c r="F149" s="87">
        <v>681223.2</v>
      </c>
      <c r="G149" s="87">
        <v>104176.15</v>
      </c>
      <c r="H149" s="87">
        <v>-2149.7399999999998</v>
      </c>
      <c r="J149" s="87">
        <f t="shared" si="18"/>
        <v>783249.61</v>
      </c>
    </row>
    <row r="150" spans="1:10" x14ac:dyDescent="0.25">
      <c r="B150" t="s">
        <v>78</v>
      </c>
      <c r="C150">
        <v>2022</v>
      </c>
      <c r="D150" s="86">
        <v>37144</v>
      </c>
      <c r="E150" s="87">
        <v>503977.96</v>
      </c>
      <c r="F150" s="87">
        <v>533016.4</v>
      </c>
      <c r="G150" s="87">
        <v>-29038.44</v>
      </c>
      <c r="H150" s="87">
        <v>-197314.46</v>
      </c>
      <c r="J150" s="87">
        <f t="shared" si="18"/>
        <v>306663.5</v>
      </c>
    </row>
    <row r="151" spans="1:10" ht="15.75" thickBot="1" x14ac:dyDescent="0.3">
      <c r="D151" s="75">
        <f>SUM(D133:D150)</f>
        <v>707357</v>
      </c>
      <c r="E151" s="89">
        <f>SUM(E133:E150)</f>
        <v>10365409.560000001</v>
      </c>
      <c r="F151" s="89">
        <f t="shared" ref="F151:H151" si="20">SUM(F133:F150)</f>
        <v>10150572.949999999</v>
      </c>
      <c r="G151" s="89">
        <f t="shared" si="20"/>
        <v>214836.61</v>
      </c>
      <c r="H151" s="89">
        <f t="shared" si="20"/>
        <v>-5995193.7699999996</v>
      </c>
    </row>
    <row r="152" spans="1:10" ht="15.75" thickTop="1" x14ac:dyDescent="0.25">
      <c r="D152" s="75"/>
      <c r="E152" s="76"/>
      <c r="F152" s="76"/>
      <c r="G152" s="76"/>
      <c r="H152" s="76"/>
    </row>
    <row r="153" spans="1:10" x14ac:dyDescent="0.25">
      <c r="A153" t="s">
        <v>93</v>
      </c>
      <c r="D153" s="75"/>
      <c r="E153" s="76">
        <v>221884.75</v>
      </c>
      <c r="F153" s="76">
        <v>208284.75</v>
      </c>
      <c r="G153" s="76">
        <f>E153-F153</f>
        <v>13600</v>
      </c>
      <c r="H153" s="76">
        <v>-287790.73</v>
      </c>
      <c r="J153" s="87">
        <f t="shared" ref="J153:J171" si="21">E153+H153</f>
        <v>-65905.979999999981</v>
      </c>
    </row>
    <row r="154" spans="1:10" x14ac:dyDescent="0.25">
      <c r="B154" t="s">
        <v>73</v>
      </c>
      <c r="C154">
        <v>2021</v>
      </c>
      <c r="D154" s="85">
        <v>8699</v>
      </c>
      <c r="E154" s="76">
        <f t="shared" ref="E154:E159" si="22">F154+G154</f>
        <v>127424.97</v>
      </c>
      <c r="F154" s="76">
        <v>128310.25</v>
      </c>
      <c r="G154" s="76">
        <v>-885.27999999999884</v>
      </c>
      <c r="H154" s="76">
        <v>-215955.21999999988</v>
      </c>
      <c r="J154" s="87">
        <f t="shared" si="21"/>
        <v>-88530.249999999884</v>
      </c>
    </row>
    <row r="155" spans="1:10" x14ac:dyDescent="0.25">
      <c r="B155" t="s">
        <v>74</v>
      </c>
      <c r="C155">
        <v>2021</v>
      </c>
      <c r="D155" s="85">
        <v>19174</v>
      </c>
      <c r="E155" s="76">
        <f t="shared" si="22"/>
        <v>344005.99</v>
      </c>
      <c r="F155" s="76">
        <v>282816.5</v>
      </c>
      <c r="G155" s="76">
        <v>61189.49</v>
      </c>
      <c r="H155" s="76">
        <v>-420997.63999999972</v>
      </c>
      <c r="J155" s="87">
        <f t="shared" si="21"/>
        <v>-76991.649999999732</v>
      </c>
    </row>
    <row r="156" spans="1:10" x14ac:dyDescent="0.25">
      <c r="B156" t="s">
        <v>75</v>
      </c>
      <c r="C156">
        <v>2021</v>
      </c>
      <c r="D156" s="75">
        <v>22432</v>
      </c>
      <c r="E156" s="76">
        <f t="shared" si="22"/>
        <v>326322.01</v>
      </c>
      <c r="F156" s="76">
        <v>330872</v>
      </c>
      <c r="G156" s="76">
        <v>-4549.9900000000052</v>
      </c>
      <c r="H156" s="76">
        <v>-586607.83000000136</v>
      </c>
      <c r="J156" s="87">
        <f t="shared" si="21"/>
        <v>-260285.82000000135</v>
      </c>
    </row>
    <row r="157" spans="1:10" x14ac:dyDescent="0.25">
      <c r="B157" t="s">
        <v>76</v>
      </c>
      <c r="C157">
        <v>2021</v>
      </c>
      <c r="D157" s="75">
        <v>24860</v>
      </c>
      <c r="E157" s="76">
        <f t="shared" si="22"/>
        <v>358380.31</v>
      </c>
      <c r="F157" s="76">
        <v>366685</v>
      </c>
      <c r="G157" s="76">
        <f>-5873.79-2430.9</f>
        <v>-8304.69</v>
      </c>
      <c r="H157" s="76">
        <v>-953144.99000000232</v>
      </c>
      <c r="J157" s="87">
        <f t="shared" si="21"/>
        <v>-594764.68000000226</v>
      </c>
    </row>
    <row r="158" spans="1:10" x14ac:dyDescent="0.25">
      <c r="B158" t="s">
        <v>77</v>
      </c>
      <c r="C158">
        <v>2021</v>
      </c>
      <c r="D158" s="75">
        <v>27770</v>
      </c>
      <c r="E158" s="76">
        <f t="shared" si="22"/>
        <v>561807.5</v>
      </c>
      <c r="F158" s="76">
        <v>409607.5</v>
      </c>
      <c r="G158" s="76">
        <v>152200</v>
      </c>
      <c r="H158" s="76">
        <v>-546191.41999999993</v>
      </c>
      <c r="J158" s="87">
        <f t="shared" si="21"/>
        <v>15616.080000000075</v>
      </c>
    </row>
    <row r="159" spans="1:10" x14ac:dyDescent="0.25">
      <c r="B159" t="s">
        <v>78</v>
      </c>
      <c r="C159">
        <v>2021</v>
      </c>
      <c r="D159" s="75">
        <v>27577</v>
      </c>
      <c r="E159" s="76">
        <f t="shared" si="22"/>
        <v>1011943.11</v>
      </c>
      <c r="F159" s="76">
        <v>406760.75</v>
      </c>
      <c r="G159" s="76">
        <v>605182.36</v>
      </c>
      <c r="H159" s="76">
        <v>-18631.159999999865</v>
      </c>
      <c r="J159" s="87">
        <f t="shared" si="21"/>
        <v>993311.95000000007</v>
      </c>
    </row>
    <row r="160" spans="1:10" x14ac:dyDescent="0.25">
      <c r="B160" t="s">
        <v>79</v>
      </c>
      <c r="C160">
        <v>2022</v>
      </c>
      <c r="D160" s="86">
        <v>21593</v>
      </c>
      <c r="E160" s="87">
        <v>169850.16000000003</v>
      </c>
      <c r="F160" s="87">
        <v>318496.75</v>
      </c>
      <c r="G160" s="87">
        <v>-148646.58999999997</v>
      </c>
      <c r="H160" s="87">
        <v>4358.2599999999366</v>
      </c>
      <c r="J160" s="87">
        <f t="shared" si="21"/>
        <v>174208.41999999998</v>
      </c>
    </row>
    <row r="161" spans="1:13" x14ac:dyDescent="0.25">
      <c r="B161" t="s">
        <v>80</v>
      </c>
      <c r="C161">
        <v>2022</v>
      </c>
      <c r="D161" s="86">
        <v>24569</v>
      </c>
      <c r="E161" s="87">
        <v>456321.23</v>
      </c>
      <c r="F161" s="87">
        <v>362392.75</v>
      </c>
      <c r="G161" s="87">
        <v>93928.48000000001</v>
      </c>
      <c r="H161" s="87">
        <v>11697.83000000026</v>
      </c>
      <c r="J161" s="87">
        <f t="shared" si="21"/>
        <v>468019.06000000023</v>
      </c>
    </row>
    <row r="162" spans="1:13" x14ac:dyDescent="0.25">
      <c r="B162" t="s">
        <v>81</v>
      </c>
      <c r="C162">
        <v>2022</v>
      </c>
      <c r="D162" s="86">
        <v>26421</v>
      </c>
      <c r="E162" s="87">
        <v>815034.79</v>
      </c>
      <c r="F162" s="87">
        <v>389709.75</v>
      </c>
      <c r="G162" s="87">
        <v>425325.04</v>
      </c>
      <c r="H162" s="87">
        <v>111034.76000000001</v>
      </c>
      <c r="J162" s="87">
        <f t="shared" si="21"/>
        <v>926069.55</v>
      </c>
    </row>
    <row r="163" spans="1:13" x14ac:dyDescent="0.25">
      <c r="B163" t="s">
        <v>82</v>
      </c>
      <c r="C163">
        <v>2022</v>
      </c>
      <c r="D163" s="86">
        <v>27163</v>
      </c>
      <c r="E163" s="87">
        <v>284592.26</v>
      </c>
      <c r="F163" s="87">
        <v>400654.25</v>
      </c>
      <c r="G163" s="87">
        <v>-116061.98999999999</v>
      </c>
      <c r="H163" s="87">
        <v>109457.55999999987</v>
      </c>
      <c r="J163" s="87">
        <f t="shared" si="21"/>
        <v>394049.81999999989</v>
      </c>
    </row>
    <row r="164" spans="1:13" x14ac:dyDescent="0.25">
      <c r="B164" t="s">
        <v>83</v>
      </c>
      <c r="C164">
        <v>2022</v>
      </c>
      <c r="D164" s="86">
        <v>25834</v>
      </c>
      <c r="E164" s="87">
        <v>496676.45999999996</v>
      </c>
      <c r="F164" s="87">
        <v>381051.5</v>
      </c>
      <c r="G164" s="87">
        <v>115624.95999999999</v>
      </c>
      <c r="H164" s="87">
        <v>-422688.69000000006</v>
      </c>
      <c r="J164" s="87">
        <f t="shared" si="21"/>
        <v>73987.769999999902</v>
      </c>
    </row>
    <row r="165" spans="1:13" x14ac:dyDescent="0.25">
      <c r="B165" t="s">
        <v>84</v>
      </c>
      <c r="C165">
        <v>2022</v>
      </c>
      <c r="D165" s="86">
        <v>20087</v>
      </c>
      <c r="E165" s="87">
        <v>298936.58</v>
      </c>
      <c r="F165" s="87">
        <v>296283.25</v>
      </c>
      <c r="G165" s="87">
        <v>2653.3300000000017</v>
      </c>
      <c r="H165" s="87">
        <v>-542654.01000000129</v>
      </c>
      <c r="J165" s="87">
        <f t="shared" si="21"/>
        <v>-243717.43000000127</v>
      </c>
    </row>
    <row r="166" spans="1:13" x14ac:dyDescent="0.25">
      <c r="B166" t="s">
        <v>73</v>
      </c>
      <c r="C166">
        <v>2022</v>
      </c>
      <c r="D166" s="88">
        <v>19158</v>
      </c>
      <c r="E166" s="76">
        <v>257930.1</v>
      </c>
      <c r="F166" s="76">
        <v>282580.5</v>
      </c>
      <c r="G166" s="76">
        <v>-24650.400000000001</v>
      </c>
      <c r="H166" s="76">
        <v>-866985.01</v>
      </c>
      <c r="J166" s="87">
        <f t="shared" si="21"/>
        <v>-609054.91</v>
      </c>
    </row>
    <row r="167" spans="1:13" x14ac:dyDescent="0.25">
      <c r="B167" t="s">
        <v>74</v>
      </c>
      <c r="C167">
        <v>2022</v>
      </c>
      <c r="D167" s="86">
        <v>17950</v>
      </c>
      <c r="E167" s="87">
        <v>268318.18</v>
      </c>
      <c r="F167" s="87">
        <v>264762.5</v>
      </c>
      <c r="G167" s="87">
        <v>3555.68</v>
      </c>
      <c r="H167" s="87">
        <v>-971321</v>
      </c>
      <c r="J167" s="87">
        <f t="shared" si="21"/>
        <v>-703002.82000000007</v>
      </c>
    </row>
    <row r="168" spans="1:13" x14ac:dyDescent="0.25">
      <c r="B168" t="s">
        <v>75</v>
      </c>
      <c r="C168">
        <v>2022</v>
      </c>
      <c r="D168" s="86">
        <v>21264</v>
      </c>
      <c r="E168" s="87">
        <v>354735</v>
      </c>
      <c r="F168" s="87">
        <v>313644</v>
      </c>
      <c r="G168" s="87">
        <v>41091</v>
      </c>
      <c r="H168" s="87">
        <v>-569351.44999999995</v>
      </c>
      <c r="J168" s="87">
        <f t="shared" si="21"/>
        <v>-214616.44999999995</v>
      </c>
    </row>
    <row r="169" spans="1:13" x14ac:dyDescent="0.25">
      <c r="B169" t="s">
        <v>76</v>
      </c>
      <c r="C169">
        <v>2022</v>
      </c>
      <c r="D169" s="86">
        <v>22448</v>
      </c>
      <c r="E169" s="87">
        <v>484617.86</v>
      </c>
      <c r="F169" s="87">
        <v>331108</v>
      </c>
      <c r="G169" s="87">
        <v>153509.85999999999</v>
      </c>
      <c r="H169" s="87">
        <v>-544729.59</v>
      </c>
      <c r="J169" s="87">
        <f t="shared" si="21"/>
        <v>-60111.729999999981</v>
      </c>
    </row>
    <row r="170" spans="1:13" x14ac:dyDescent="0.25">
      <c r="B170" t="s">
        <v>77</v>
      </c>
      <c r="C170">
        <v>2022</v>
      </c>
      <c r="D170" s="86">
        <v>31209</v>
      </c>
      <c r="E170" s="87">
        <v>504476.75</v>
      </c>
      <c r="F170" s="87">
        <v>460332.75</v>
      </c>
      <c r="G170" s="87">
        <v>44144</v>
      </c>
      <c r="H170" s="87">
        <v>-557074.97</v>
      </c>
      <c r="J170" s="87">
        <f t="shared" si="21"/>
        <v>-52598.219999999972</v>
      </c>
    </row>
    <row r="171" spans="1:13" x14ac:dyDescent="0.25">
      <c r="B171" t="s">
        <v>78</v>
      </c>
      <c r="C171">
        <v>2022</v>
      </c>
      <c r="D171" s="86">
        <v>23141</v>
      </c>
      <c r="E171" s="87">
        <v>1277980.54</v>
      </c>
      <c r="F171" s="87">
        <v>341329.75</v>
      </c>
      <c r="G171" s="87">
        <v>936650.79</v>
      </c>
      <c r="H171" s="87">
        <v>-120583.7</v>
      </c>
      <c r="J171" s="87">
        <f t="shared" si="21"/>
        <v>1157396.8400000001</v>
      </c>
    </row>
    <row r="172" spans="1:13" ht="15.75" thickBot="1" x14ac:dyDescent="0.3">
      <c r="D172" s="75">
        <f>SUM(D154:D171)</f>
        <v>411349</v>
      </c>
      <c r="E172" s="89">
        <f>SUM(E154:E171)</f>
        <v>8399353.8000000007</v>
      </c>
      <c r="F172" s="89">
        <f t="shared" ref="F172:H172" si="23">SUM(F154:F171)</f>
        <v>6067397.75</v>
      </c>
      <c r="G172" s="89">
        <f t="shared" si="23"/>
        <v>2331956.0500000003</v>
      </c>
      <c r="H172" s="89">
        <f t="shared" si="23"/>
        <v>-7100368.2700000042</v>
      </c>
    </row>
    <row r="173" spans="1:13" ht="15.75" thickTop="1" x14ac:dyDescent="0.25">
      <c r="D173" s="75"/>
      <c r="E173" s="76"/>
      <c r="F173" s="76"/>
      <c r="G173" s="76"/>
      <c r="H173" s="76"/>
    </row>
    <row r="174" spans="1:13" x14ac:dyDescent="0.25">
      <c r="A174" s="92" t="s">
        <v>8</v>
      </c>
      <c r="B174" t="s">
        <v>84</v>
      </c>
      <c r="C174">
        <v>2021</v>
      </c>
      <c r="D174" s="75"/>
      <c r="E174" s="76">
        <f>E6+E27+E48+E69+E90+E111+E132+E153</f>
        <v>6324222.4500000002</v>
      </c>
      <c r="F174" s="76">
        <f t="shared" ref="F174:H174" si="24">F6+F27+F48+F69+F90+F111+F132+F153</f>
        <v>6313798</v>
      </c>
      <c r="G174" s="76">
        <f t="shared" si="24"/>
        <v>10424.449999999895</v>
      </c>
      <c r="H174" s="76">
        <f t="shared" si="24"/>
        <v>-3677233.28</v>
      </c>
      <c r="J174" s="87">
        <f t="shared" ref="J174:J192" si="25">E174+H174</f>
        <v>2646989.1700000004</v>
      </c>
      <c r="L174" s="111"/>
      <c r="M174" s="94"/>
    </row>
    <row r="175" spans="1:13" x14ac:dyDescent="0.25">
      <c r="B175" t="s">
        <v>73</v>
      </c>
      <c r="C175">
        <v>2021</v>
      </c>
      <c r="D175" s="85">
        <v>22047.41</v>
      </c>
      <c r="E175" s="76">
        <f t="shared" ref="E175:H175" si="26">E7+E28+E49+E70+E91+E112+E133+E154</f>
        <v>5618235.4999999953</v>
      </c>
      <c r="F175" s="76">
        <f t="shared" si="26"/>
        <v>5462900.5099999961</v>
      </c>
      <c r="G175" s="76">
        <f t="shared" si="26"/>
        <v>155334.99</v>
      </c>
      <c r="H175" s="76">
        <f t="shared" si="26"/>
        <v>-4703478.9899999993</v>
      </c>
      <c r="J175" s="87">
        <f t="shared" si="25"/>
        <v>914756.50999999605</v>
      </c>
      <c r="M175" s="94"/>
    </row>
    <row r="176" spans="1:13" x14ac:dyDescent="0.25">
      <c r="B176" t="s">
        <v>74</v>
      </c>
      <c r="C176">
        <v>2021</v>
      </c>
      <c r="D176" s="85">
        <v>21273.782930000001</v>
      </c>
      <c r="E176" s="76">
        <f t="shared" ref="E176:H176" si="27">E8+E29+E50+E71+E92+E113+E134+E155</f>
        <v>8901114.6900000032</v>
      </c>
      <c r="F176" s="76">
        <f t="shared" si="27"/>
        <v>8728329.7500000037</v>
      </c>
      <c r="G176" s="76">
        <f t="shared" si="27"/>
        <v>172784.94</v>
      </c>
      <c r="H176" s="76">
        <f t="shared" si="27"/>
        <v>-7043866.8699999982</v>
      </c>
      <c r="J176" s="87">
        <f t="shared" si="25"/>
        <v>1857247.820000005</v>
      </c>
      <c r="M176" s="94"/>
    </row>
    <row r="177" spans="2:13" x14ac:dyDescent="0.25">
      <c r="B177" t="s">
        <v>75</v>
      </c>
      <c r="C177">
        <v>2021</v>
      </c>
      <c r="D177" s="75">
        <v>10805</v>
      </c>
      <c r="E177" s="76">
        <f t="shared" ref="E177:H177" si="28">E9+E30+E51+E72+E93+E114+E135+E156</f>
        <v>9235135.5</v>
      </c>
      <c r="F177" s="76">
        <f t="shared" si="28"/>
        <v>9179999.3900000006</v>
      </c>
      <c r="G177" s="76">
        <f t="shared" si="28"/>
        <v>55136.109999999986</v>
      </c>
      <c r="H177" s="76">
        <f t="shared" si="28"/>
        <v>-3731223.7</v>
      </c>
      <c r="J177" s="87">
        <f t="shared" si="25"/>
        <v>5503911.7999999998</v>
      </c>
      <c r="M177" s="94"/>
    </row>
    <row r="178" spans="2:13" x14ac:dyDescent="0.25">
      <c r="B178" t="s">
        <v>76</v>
      </c>
      <c r="C178">
        <v>2021</v>
      </c>
      <c r="D178" s="75">
        <v>12741.30099</v>
      </c>
      <c r="E178" s="76">
        <f t="shared" ref="E178:H178" si="29">E10+E31+E52+E73+E94+E115+E136+E157</f>
        <v>9439612.2499999981</v>
      </c>
      <c r="F178" s="76">
        <f t="shared" si="29"/>
        <v>8331469.5499999998</v>
      </c>
      <c r="G178" s="76">
        <f t="shared" si="29"/>
        <v>1108142.7</v>
      </c>
      <c r="H178" s="76">
        <f t="shared" si="29"/>
        <v>-3767668.7499999423</v>
      </c>
      <c r="J178" s="87">
        <f t="shared" si="25"/>
        <v>5671943.5000000559</v>
      </c>
      <c r="M178" s="94"/>
    </row>
    <row r="179" spans="2:13" x14ac:dyDescent="0.25">
      <c r="B179" t="s">
        <v>77</v>
      </c>
      <c r="C179">
        <v>2021</v>
      </c>
      <c r="D179" s="75">
        <v>10999</v>
      </c>
      <c r="E179" s="76">
        <f t="shared" ref="E179:H179" si="30">E11+E32+E53+E74+E95+E116+E137+E158</f>
        <v>9892438</v>
      </c>
      <c r="F179" s="76">
        <f t="shared" si="30"/>
        <v>8895038</v>
      </c>
      <c r="G179" s="76">
        <f t="shared" si="30"/>
        <v>997400</v>
      </c>
      <c r="H179" s="76">
        <f t="shared" si="30"/>
        <v>-4523843.79</v>
      </c>
      <c r="J179" s="87">
        <f t="shared" si="25"/>
        <v>5368594.21</v>
      </c>
      <c r="M179" s="94"/>
    </row>
    <row r="180" spans="2:13" x14ac:dyDescent="0.25">
      <c r="B180" t="s">
        <v>78</v>
      </c>
      <c r="C180">
        <v>2021</v>
      </c>
      <c r="D180" s="75">
        <v>13810.538549999999</v>
      </c>
      <c r="E180" s="76">
        <f t="shared" ref="E180:H180" si="31">E12+E33+E54+E75+E96+E117+E138+E159</f>
        <v>12013434.6</v>
      </c>
      <c r="F180" s="76">
        <f t="shared" si="31"/>
        <v>10060886.27</v>
      </c>
      <c r="G180" s="76">
        <f t="shared" si="31"/>
        <v>1952548.33</v>
      </c>
      <c r="H180" s="76">
        <f t="shared" si="31"/>
        <v>-1647057.8700000003</v>
      </c>
      <c r="J180" s="87">
        <f t="shared" si="25"/>
        <v>10366376.729999999</v>
      </c>
      <c r="M180" s="94"/>
    </row>
    <row r="181" spans="2:13" x14ac:dyDescent="0.25">
      <c r="B181" t="s">
        <v>79</v>
      </c>
      <c r="C181">
        <v>2022</v>
      </c>
      <c r="D181" s="86">
        <v>11769.344999999999</v>
      </c>
      <c r="E181" s="76">
        <f t="shared" ref="E181:H181" si="32">E13+E34+E55+E76+E97+E118+E139+E160</f>
        <v>10732382.899999999</v>
      </c>
      <c r="F181" s="76">
        <f t="shared" si="32"/>
        <v>9942409.6400000006</v>
      </c>
      <c r="G181" s="76">
        <f t="shared" si="32"/>
        <v>789973.26</v>
      </c>
      <c r="H181" s="76">
        <f t="shared" si="32"/>
        <v>-2703659.0399999996</v>
      </c>
      <c r="J181" s="87">
        <f t="shared" si="25"/>
        <v>8028723.8599999994</v>
      </c>
      <c r="M181" s="94"/>
    </row>
    <row r="182" spans="2:13" x14ac:dyDescent="0.25">
      <c r="B182" t="s">
        <v>80</v>
      </c>
      <c r="C182">
        <v>2022</v>
      </c>
      <c r="D182" s="86">
        <v>10451.3056</v>
      </c>
      <c r="E182" s="76">
        <f t="shared" ref="E182:H182" si="33">E14+E35+E56+E77+E98+E119+E140+E161</f>
        <v>10947624.380000001</v>
      </c>
      <c r="F182" s="76">
        <f t="shared" si="33"/>
        <v>10166674.580000002</v>
      </c>
      <c r="G182" s="76">
        <f t="shared" si="33"/>
        <v>780949.79999999993</v>
      </c>
      <c r="H182" s="76">
        <f t="shared" si="33"/>
        <v>-2401703.3899999992</v>
      </c>
      <c r="J182" s="87">
        <f t="shared" si="25"/>
        <v>8545920.9900000021</v>
      </c>
      <c r="M182" s="94"/>
    </row>
    <row r="183" spans="2:13" x14ac:dyDescent="0.25">
      <c r="B183" t="s">
        <v>81</v>
      </c>
      <c r="C183">
        <v>2022</v>
      </c>
      <c r="D183" s="86">
        <v>14744.66373</v>
      </c>
      <c r="E183" s="76">
        <f t="shared" ref="E183:H183" si="34">E15+E36+E57+E78+E99+E120+E141+E162</f>
        <v>14669266.149999999</v>
      </c>
      <c r="F183" s="76">
        <f t="shared" si="34"/>
        <v>11097107.939999999</v>
      </c>
      <c r="G183" s="76">
        <f t="shared" si="34"/>
        <v>3572158.2099999995</v>
      </c>
      <c r="H183" s="76">
        <f t="shared" si="34"/>
        <v>-1415425.8299999996</v>
      </c>
      <c r="J183" s="87">
        <f t="shared" si="25"/>
        <v>13253840.319999998</v>
      </c>
      <c r="M183" s="94"/>
    </row>
    <row r="184" spans="2:13" x14ac:dyDescent="0.25">
      <c r="B184" t="s">
        <v>82</v>
      </c>
      <c r="C184">
        <v>2022</v>
      </c>
      <c r="D184" s="86">
        <v>11357.05011</v>
      </c>
      <c r="E184" s="76">
        <f t="shared" ref="E184:H184" si="35">E16+E37+E58+E79+E100+E121+E142+E163</f>
        <v>12900589</v>
      </c>
      <c r="F184" s="76">
        <f t="shared" si="35"/>
        <v>11532597.76</v>
      </c>
      <c r="G184" s="76">
        <f t="shared" si="35"/>
        <v>1367991.24</v>
      </c>
      <c r="H184" s="76">
        <f t="shared" si="35"/>
        <v>-1120260.419999999</v>
      </c>
      <c r="J184" s="87">
        <f t="shared" si="25"/>
        <v>11780328.580000002</v>
      </c>
      <c r="M184" s="94"/>
    </row>
    <row r="185" spans="2:13" x14ac:dyDescent="0.25">
      <c r="B185" t="s">
        <v>83</v>
      </c>
      <c r="C185">
        <v>2022</v>
      </c>
      <c r="D185" s="86">
        <v>14738.147999999999</v>
      </c>
      <c r="E185" s="76">
        <f t="shared" ref="E185:H185" si="36">E17+E38+E59+E80+E101+E122+E143+E164</f>
        <v>11324365.43</v>
      </c>
      <c r="F185" s="76">
        <f t="shared" si="36"/>
        <v>10300309.07</v>
      </c>
      <c r="G185" s="76">
        <f t="shared" si="36"/>
        <v>1024056.36</v>
      </c>
      <c r="H185" s="76">
        <f t="shared" si="36"/>
        <v>-7033843.8999999994</v>
      </c>
      <c r="J185" s="87">
        <f t="shared" si="25"/>
        <v>4290521.53</v>
      </c>
      <c r="M185" s="94"/>
    </row>
    <row r="186" spans="2:13" x14ac:dyDescent="0.25">
      <c r="B186" t="s">
        <v>84</v>
      </c>
      <c r="C186">
        <v>2022</v>
      </c>
      <c r="D186" s="86">
        <v>34131.252760000003</v>
      </c>
      <c r="E186" s="76">
        <f t="shared" ref="E186:H186" si="37">E18+E39+E60+E81+E102+E123+E144+E165</f>
        <v>8264622.9800000004</v>
      </c>
      <c r="F186" s="76">
        <f t="shared" si="37"/>
        <v>7786741.5799999991</v>
      </c>
      <c r="G186" s="76">
        <f t="shared" si="37"/>
        <v>477881.4</v>
      </c>
      <c r="H186" s="76">
        <f t="shared" si="37"/>
        <v>-8648288.7500000019</v>
      </c>
      <c r="J186" s="87">
        <f t="shared" si="25"/>
        <v>-383665.77000000142</v>
      </c>
      <c r="M186" s="94"/>
    </row>
    <row r="187" spans="2:13" x14ac:dyDescent="0.25">
      <c r="B187" t="s">
        <v>73</v>
      </c>
      <c r="C187">
        <v>2022</v>
      </c>
      <c r="D187" s="88">
        <v>21646.400000000001</v>
      </c>
      <c r="E187" s="76">
        <f t="shared" ref="E187:H187" si="38">E19+E40+E61+E82+E103+E124+E145+E166</f>
        <v>6890114.5699999994</v>
      </c>
      <c r="F187" s="76">
        <f t="shared" si="38"/>
        <v>6672855.0499999998</v>
      </c>
      <c r="G187" s="76">
        <f t="shared" si="38"/>
        <v>217259.52000000005</v>
      </c>
      <c r="H187" s="76">
        <f t="shared" si="38"/>
        <v>-11537910.539999999</v>
      </c>
      <c r="J187" s="87">
        <f t="shared" si="25"/>
        <v>-4647795.97</v>
      </c>
      <c r="M187" s="94"/>
    </row>
    <row r="188" spans="2:13" x14ac:dyDescent="0.25">
      <c r="B188" t="s">
        <v>74</v>
      </c>
      <c r="C188">
        <v>2022</v>
      </c>
      <c r="D188" s="86">
        <v>19412.5</v>
      </c>
      <c r="E188" s="76">
        <f t="shared" ref="E188:H188" si="39">E20+E41+E62+E83+E104+E125+E146+E167</f>
        <v>6212332.9499999993</v>
      </c>
      <c r="F188" s="76">
        <f t="shared" si="39"/>
        <v>6194830.1299999999</v>
      </c>
      <c r="G188" s="76">
        <f t="shared" si="39"/>
        <v>17502.82</v>
      </c>
      <c r="H188" s="76">
        <f t="shared" si="39"/>
        <v>-11962047.389999999</v>
      </c>
      <c r="J188" s="87">
        <f t="shared" si="25"/>
        <v>-5749714.4399999995</v>
      </c>
      <c r="M188" s="94"/>
    </row>
    <row r="189" spans="2:13" x14ac:dyDescent="0.25">
      <c r="B189" t="s">
        <v>75</v>
      </c>
      <c r="C189">
        <v>2022</v>
      </c>
      <c r="D189" s="86">
        <v>7590.14</v>
      </c>
      <c r="E189" s="76">
        <f t="shared" ref="E189:H189" si="40">E21+E42+E63+E84+E105+E126+E147+E168</f>
        <v>8618644.1999999993</v>
      </c>
      <c r="F189" s="76">
        <f t="shared" si="40"/>
        <v>7425547.9700000007</v>
      </c>
      <c r="G189" s="76">
        <f t="shared" si="40"/>
        <v>1193096.23</v>
      </c>
      <c r="H189" s="76">
        <f t="shared" si="40"/>
        <v>-7099775.7999999998</v>
      </c>
      <c r="J189" s="87">
        <f t="shared" si="25"/>
        <v>1518868.3999999994</v>
      </c>
      <c r="M189" s="94"/>
    </row>
    <row r="190" spans="2:13" x14ac:dyDescent="0.25">
      <c r="B190" t="s">
        <v>76</v>
      </c>
      <c r="C190">
        <v>2022</v>
      </c>
      <c r="D190" s="86">
        <v>5656.29</v>
      </c>
      <c r="E190" s="76">
        <f t="shared" ref="E190:H190" si="41">E22+E43+E64+E85+E106+E127+E148+E169</f>
        <v>8558616.1400000006</v>
      </c>
      <c r="F190" s="76">
        <f t="shared" si="41"/>
        <v>7049001.54</v>
      </c>
      <c r="G190" s="76">
        <f t="shared" si="41"/>
        <v>1509614.6</v>
      </c>
      <c r="H190" s="76">
        <f t="shared" si="41"/>
        <v>-7386639.4199999999</v>
      </c>
      <c r="J190" s="87">
        <f t="shared" si="25"/>
        <v>1171976.7200000007</v>
      </c>
      <c r="M190" s="94"/>
    </row>
    <row r="191" spans="2:13" x14ac:dyDescent="0.25">
      <c r="B191" t="s">
        <v>77</v>
      </c>
      <c r="C191">
        <v>2022</v>
      </c>
      <c r="D191" s="86">
        <v>6520.64</v>
      </c>
      <c r="E191" s="76">
        <f t="shared" ref="E191:H191" si="42">E23+E44+E65+E86+E107+E128+E149+E170</f>
        <v>13250996.67</v>
      </c>
      <c r="F191" s="76">
        <f t="shared" si="42"/>
        <v>9459193.9399999995</v>
      </c>
      <c r="G191" s="76">
        <f t="shared" si="42"/>
        <v>3791802.73</v>
      </c>
      <c r="H191" s="76">
        <f t="shared" si="42"/>
        <v>-6567922.0700000003</v>
      </c>
      <c r="J191" s="87">
        <f t="shared" si="25"/>
        <v>6683074.5999999996</v>
      </c>
      <c r="M191" s="94"/>
    </row>
    <row r="192" spans="2:13" x14ac:dyDescent="0.25">
      <c r="B192" t="s">
        <v>78</v>
      </c>
      <c r="C192">
        <v>2022</v>
      </c>
      <c r="D192" s="86">
        <v>5136.71</v>
      </c>
      <c r="E192" s="76">
        <f t="shared" ref="E192:H192" si="43">E24+E45+E66+E87+E108+E129+E150+E171</f>
        <v>10261764.300000001</v>
      </c>
      <c r="F192" s="76">
        <f t="shared" si="43"/>
        <v>8330947.3900000006</v>
      </c>
      <c r="G192" s="76">
        <f t="shared" si="43"/>
        <v>1930816.9100000001</v>
      </c>
      <c r="H192" s="76">
        <f t="shared" si="43"/>
        <v>-5899501.7400000002</v>
      </c>
      <c r="J192" s="87">
        <f t="shared" si="25"/>
        <v>4362262.5600000005</v>
      </c>
      <c r="M192" s="94"/>
    </row>
    <row r="193" spans="3:10" ht="15.75" thickBot="1" x14ac:dyDescent="0.3">
      <c r="D193" s="75"/>
      <c r="E193" s="89">
        <f>SUM(E175:E192)</f>
        <v>177731290.21000001</v>
      </c>
      <c r="F193" s="89">
        <f t="shared" ref="F193:J193" si="44">SUM(F175:F192)</f>
        <v>156616840.06</v>
      </c>
      <c r="G193" s="89">
        <f t="shared" si="44"/>
        <v>21114450.149999999</v>
      </c>
      <c r="H193" s="89">
        <f t="shared" si="44"/>
        <v>-99194118.259999916</v>
      </c>
      <c r="J193" s="89">
        <f t="shared" si="44"/>
        <v>78537171.950000063</v>
      </c>
    </row>
    <row r="194" spans="3:10" ht="15.75" thickTop="1" x14ac:dyDescent="0.25">
      <c r="D194" s="75"/>
      <c r="E194" s="90"/>
      <c r="F194" s="90"/>
      <c r="G194" s="90"/>
      <c r="H194" s="90"/>
    </row>
    <row r="195" spans="3:10" x14ac:dyDescent="0.25">
      <c r="D195" s="75"/>
      <c r="E195" s="90"/>
      <c r="F195" s="90"/>
      <c r="G195" s="90"/>
      <c r="H195" s="90"/>
    </row>
    <row r="196" spans="3:10" x14ac:dyDescent="0.25">
      <c r="D196" s="75"/>
      <c r="E196" s="76"/>
      <c r="F196" s="76"/>
      <c r="G196" s="76"/>
      <c r="H196" s="76"/>
    </row>
    <row r="197" spans="3:10" x14ac:dyDescent="0.25">
      <c r="D197" s="85"/>
      <c r="E197" s="90"/>
      <c r="F197" s="90"/>
      <c r="G197" s="90"/>
      <c r="H197" s="90"/>
    </row>
    <row r="198" spans="3:10" x14ac:dyDescent="0.25">
      <c r="C198" s="75"/>
      <c r="D198" s="76"/>
      <c r="E198" s="76"/>
      <c r="F198" s="76"/>
      <c r="G198" s="76"/>
      <c r="H198" s="76"/>
    </row>
    <row r="199" spans="3:10" x14ac:dyDescent="0.25">
      <c r="C199" s="85"/>
      <c r="D199" s="90">
        <f>D174+D153+D132+D111+D90+D69+D48+D27</f>
        <v>0</v>
      </c>
      <c r="E199" s="90"/>
      <c r="F199" s="90"/>
      <c r="G199" s="90"/>
      <c r="H199" s="90"/>
    </row>
  </sheetData>
  <mergeCells count="1">
    <mergeCell ref="E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zoomScale="125" zoomScaleNormal="125" workbookViewId="0">
      <selection activeCell="G1" sqref="G1"/>
    </sheetView>
  </sheetViews>
  <sheetFormatPr defaultRowHeight="15" x14ac:dyDescent="0.25"/>
  <cols>
    <col min="1" max="1" width="17.42578125" customWidth="1"/>
    <col min="2" max="2" width="15" style="64" bestFit="1" customWidth="1"/>
    <col min="5" max="5" width="17.28515625" bestFit="1" customWidth="1"/>
    <col min="6" max="6" width="18.7109375" customWidth="1"/>
  </cols>
  <sheetData>
    <row r="1" spans="1:7" x14ac:dyDescent="0.25">
      <c r="A1" t="s">
        <v>44</v>
      </c>
      <c r="G1" s="114" t="s">
        <v>105</v>
      </c>
    </row>
    <row r="2" spans="1:7" x14ac:dyDescent="0.25">
      <c r="A2" t="s">
        <v>54</v>
      </c>
    </row>
    <row r="4" spans="1:7" x14ac:dyDescent="0.25">
      <c r="A4" t="s">
        <v>7</v>
      </c>
      <c r="E4" t="s">
        <v>56</v>
      </c>
    </row>
    <row r="5" spans="1:7" x14ac:dyDescent="0.25">
      <c r="A5" t="s">
        <v>45</v>
      </c>
      <c r="B5" s="64">
        <v>1669648817</v>
      </c>
      <c r="E5" t="s">
        <v>45</v>
      </c>
      <c r="F5" s="64">
        <f>B5+B19</f>
        <v>8076242571</v>
      </c>
    </row>
    <row r="6" spans="1:7" x14ac:dyDescent="0.25">
      <c r="A6" t="s">
        <v>46</v>
      </c>
      <c r="B6" s="64">
        <v>155357980</v>
      </c>
      <c r="E6" t="s">
        <v>46</v>
      </c>
      <c r="F6" s="64">
        <f>B6+B20</f>
        <v>2659959476</v>
      </c>
    </row>
    <row r="7" spans="1:7" x14ac:dyDescent="0.25">
      <c r="A7" t="s">
        <v>47</v>
      </c>
      <c r="B7" s="64">
        <f>B5-B6</f>
        <v>1514290837</v>
      </c>
      <c r="E7" t="s">
        <v>47</v>
      </c>
      <c r="F7" s="64">
        <f>B7+B21</f>
        <v>5416283095</v>
      </c>
    </row>
    <row r="8" spans="1:7" x14ac:dyDescent="0.25">
      <c r="F8" s="64">
        <f>B8+B22</f>
        <v>0</v>
      </c>
    </row>
    <row r="9" spans="1:7" x14ac:dyDescent="0.25">
      <c r="A9" t="s">
        <v>48</v>
      </c>
      <c r="B9" s="63">
        <v>7.3499999999999996E-2</v>
      </c>
      <c r="E9" t="s">
        <v>48</v>
      </c>
      <c r="F9" s="66">
        <f>B9</f>
        <v>7.3499999999999996E-2</v>
      </c>
    </row>
    <row r="10" spans="1:7" x14ac:dyDescent="0.25">
      <c r="A10" t="s">
        <v>49</v>
      </c>
      <c r="B10" s="64">
        <f>B9*B7</f>
        <v>111300376.51949999</v>
      </c>
      <c r="E10" t="s">
        <v>49</v>
      </c>
      <c r="F10" s="64">
        <f>B10+B24</f>
        <v>398096807.48249996</v>
      </c>
    </row>
    <row r="11" spans="1:7" x14ac:dyDescent="0.25">
      <c r="F11" s="64"/>
    </row>
    <row r="12" spans="1:7" x14ac:dyDescent="0.25">
      <c r="A12" t="s">
        <v>50</v>
      </c>
      <c r="B12" s="64">
        <v>40170103</v>
      </c>
      <c r="C12" s="63">
        <v>0.99660000000000004</v>
      </c>
      <c r="F12" s="64"/>
    </row>
    <row r="13" spans="1:7" x14ac:dyDescent="0.25">
      <c r="A13" t="s">
        <v>52</v>
      </c>
      <c r="B13" s="64">
        <f>B12/C12</f>
        <v>40307147.300822794</v>
      </c>
      <c r="E13" t="s">
        <v>52</v>
      </c>
      <c r="F13" s="64">
        <f>B13+B27</f>
        <v>179442901.66018596</v>
      </c>
    </row>
    <row r="14" spans="1:7" x14ac:dyDescent="0.25">
      <c r="A14" t="s">
        <v>51</v>
      </c>
      <c r="B14" s="64">
        <f>B10+B13</f>
        <v>151607523.82032278</v>
      </c>
      <c r="E14" t="s">
        <v>51</v>
      </c>
      <c r="F14" s="64">
        <f>B14+B28</f>
        <v>577539709.14268589</v>
      </c>
    </row>
    <row r="15" spans="1:7" x14ac:dyDescent="0.25">
      <c r="F15" s="64"/>
    </row>
    <row r="16" spans="1:7" x14ac:dyDescent="0.25">
      <c r="A16" t="s">
        <v>53</v>
      </c>
      <c r="B16" s="65">
        <f>8591702.06892424*1000</f>
        <v>8591702068.9242401</v>
      </c>
      <c r="E16" t="s">
        <v>53</v>
      </c>
      <c r="F16" s="65">
        <f t="shared" ref="F16" si="0">B16+B30</f>
        <v>24350866723.09354</v>
      </c>
    </row>
    <row r="17" spans="1:6" x14ac:dyDescent="0.25">
      <c r="F17" s="67">
        <f>F14/F16</f>
        <v>2.3717419002378535E-2</v>
      </c>
    </row>
    <row r="18" spans="1:6" x14ac:dyDescent="0.25">
      <c r="A18" t="s">
        <v>9</v>
      </c>
    </row>
    <row r="19" spans="1:6" x14ac:dyDescent="0.25">
      <c r="A19" t="s">
        <v>45</v>
      </c>
      <c r="B19" s="64">
        <v>6406593754</v>
      </c>
      <c r="E19" t="s">
        <v>57</v>
      </c>
      <c r="F19" s="64">
        <f>B16*F17</f>
        <v>203772997.91227874</v>
      </c>
    </row>
    <row r="20" spans="1:6" x14ac:dyDescent="0.25">
      <c r="A20" t="s">
        <v>46</v>
      </c>
      <c r="B20" s="64">
        <v>2504601496</v>
      </c>
      <c r="F20" s="64"/>
    </row>
    <row r="21" spans="1:6" x14ac:dyDescent="0.25">
      <c r="A21" t="s">
        <v>47</v>
      </c>
      <c r="B21" s="64">
        <f>B19-B20</f>
        <v>3901992258</v>
      </c>
      <c r="E21" t="s">
        <v>58</v>
      </c>
      <c r="F21" s="64">
        <f>F19*1.5</f>
        <v>305659496.8684181</v>
      </c>
    </row>
    <row r="22" spans="1:6" x14ac:dyDescent="0.25">
      <c r="E22" t="s">
        <v>59</v>
      </c>
      <c r="F22" s="64">
        <f>B14*1.5</f>
        <v>227411285.73048419</v>
      </c>
    </row>
    <row r="23" spans="1:6" x14ac:dyDescent="0.25">
      <c r="A23" t="s">
        <v>48</v>
      </c>
      <c r="B23" s="63">
        <v>7.3499999999999996E-2</v>
      </c>
      <c r="E23" t="s">
        <v>60</v>
      </c>
      <c r="F23" s="64">
        <f>F21-F22</f>
        <v>78248211.13793391</v>
      </c>
    </row>
    <row r="24" spans="1:6" x14ac:dyDescent="0.25">
      <c r="A24" t="s">
        <v>49</v>
      </c>
      <c r="B24" s="64">
        <f>B23*B21</f>
        <v>286796430.963</v>
      </c>
    </row>
    <row r="26" spans="1:6" x14ac:dyDescent="0.25">
      <c r="A26" t="s">
        <v>50</v>
      </c>
      <c r="B26" s="64">
        <v>73408024</v>
      </c>
      <c r="C26" s="63">
        <v>0.52759999999999996</v>
      </c>
    </row>
    <row r="27" spans="1:6" x14ac:dyDescent="0.25">
      <c r="A27" t="s">
        <v>52</v>
      </c>
      <c r="B27" s="64">
        <f>B26/C26</f>
        <v>139135754.35936317</v>
      </c>
    </row>
    <row r="28" spans="1:6" x14ac:dyDescent="0.25">
      <c r="A28" t="s">
        <v>51</v>
      </c>
      <c r="B28" s="64">
        <f>B24+B27</f>
        <v>425932185.32236314</v>
      </c>
    </row>
    <row r="30" spans="1:6" x14ac:dyDescent="0.25">
      <c r="A30" t="s">
        <v>53</v>
      </c>
      <c r="B30" s="65">
        <f>15759164.6541693*1000</f>
        <v>15759164654.1693</v>
      </c>
      <c r="C30" t="s">
        <v>55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workbookViewId="0">
      <selection activeCell="H1" sqref="H1"/>
    </sheetView>
  </sheetViews>
  <sheetFormatPr defaultRowHeight="15" x14ac:dyDescent="0.25"/>
  <cols>
    <col min="1" max="1" width="14.28515625" customWidth="1"/>
    <col min="2" max="4" width="11.42578125" customWidth="1"/>
    <col min="5" max="5" width="11.5703125" bestFit="1" customWidth="1"/>
    <col min="6" max="6" width="11" bestFit="1" customWidth="1"/>
    <col min="7" max="7" width="3.7109375" customWidth="1"/>
  </cols>
  <sheetData>
    <row r="1" spans="1:8" x14ac:dyDescent="0.25">
      <c r="A1" t="s">
        <v>19</v>
      </c>
      <c r="H1" s="114" t="s">
        <v>105</v>
      </c>
    </row>
    <row r="2" spans="1:8" x14ac:dyDescent="0.25">
      <c r="A2" t="s">
        <v>20</v>
      </c>
    </row>
    <row r="5" spans="1:8" x14ac:dyDescent="0.25">
      <c r="A5" t="s">
        <v>21</v>
      </c>
      <c r="B5" t="s">
        <v>22</v>
      </c>
      <c r="C5" t="s">
        <v>23</v>
      </c>
      <c r="D5" t="s">
        <v>8</v>
      </c>
      <c r="E5" t="s">
        <v>43</v>
      </c>
      <c r="F5" t="s">
        <v>42</v>
      </c>
    </row>
    <row r="6" spans="1:8" x14ac:dyDescent="0.25">
      <c r="A6" t="s">
        <v>24</v>
      </c>
      <c r="B6" s="62">
        <v>231109</v>
      </c>
      <c r="C6" s="62">
        <v>142981</v>
      </c>
      <c r="D6" s="62">
        <f>B6+C6</f>
        <v>374090</v>
      </c>
      <c r="E6" s="62">
        <v>830640</v>
      </c>
      <c r="F6" s="63">
        <f t="shared" ref="F6:F24" si="0">D6/E6</f>
        <v>0.45036357507464125</v>
      </c>
    </row>
    <row r="7" spans="1:8" x14ac:dyDescent="0.25">
      <c r="A7" t="s">
        <v>25</v>
      </c>
      <c r="B7" s="62">
        <v>323934</v>
      </c>
      <c r="C7" s="62">
        <v>119208</v>
      </c>
      <c r="D7" s="62">
        <f t="shared" ref="D7:D23" si="1">B7+C7</f>
        <v>443142</v>
      </c>
      <c r="E7" s="62">
        <v>902142</v>
      </c>
      <c r="F7" s="63">
        <f t="shared" si="0"/>
        <v>0.49121091801512401</v>
      </c>
    </row>
    <row r="8" spans="1:8" x14ac:dyDescent="0.25">
      <c r="A8" t="s">
        <v>26</v>
      </c>
      <c r="B8" s="62">
        <v>271464</v>
      </c>
      <c r="C8" s="62">
        <v>180211</v>
      </c>
      <c r="D8" s="62">
        <f t="shared" si="1"/>
        <v>451675</v>
      </c>
      <c r="E8" s="62">
        <v>934841</v>
      </c>
      <c r="F8" s="63">
        <f t="shared" si="0"/>
        <v>0.48315702884233791</v>
      </c>
    </row>
    <row r="9" spans="1:8" x14ac:dyDescent="0.25">
      <c r="A9" t="s">
        <v>27</v>
      </c>
      <c r="B9" s="62">
        <v>186026</v>
      </c>
      <c r="C9" s="62">
        <v>192336</v>
      </c>
      <c r="D9" s="62">
        <f t="shared" si="1"/>
        <v>378362</v>
      </c>
      <c r="E9" s="62">
        <v>775577</v>
      </c>
      <c r="F9" s="63">
        <f t="shared" si="0"/>
        <v>0.48784582317423031</v>
      </c>
    </row>
    <row r="10" spans="1:8" x14ac:dyDescent="0.25">
      <c r="A10" t="s">
        <v>28</v>
      </c>
      <c r="B10" s="62">
        <v>139392</v>
      </c>
      <c r="C10" s="62">
        <v>182655</v>
      </c>
      <c r="D10" s="62">
        <f t="shared" si="1"/>
        <v>322047</v>
      </c>
      <c r="E10" s="62">
        <v>655044</v>
      </c>
      <c r="F10" s="63">
        <f t="shared" si="0"/>
        <v>0.49164178284206861</v>
      </c>
    </row>
    <row r="11" spans="1:8" x14ac:dyDescent="0.25">
      <c r="A11" t="s">
        <v>29</v>
      </c>
      <c r="B11" s="62">
        <v>153315</v>
      </c>
      <c r="C11" s="62">
        <v>203162</v>
      </c>
      <c r="D11" s="62">
        <f t="shared" si="1"/>
        <v>356477</v>
      </c>
      <c r="E11" s="62">
        <v>659546</v>
      </c>
      <c r="F11" s="63">
        <f t="shared" si="0"/>
        <v>0.54048845721147576</v>
      </c>
    </row>
    <row r="12" spans="1:8" x14ac:dyDescent="0.25">
      <c r="A12" t="s">
        <v>30</v>
      </c>
      <c r="B12" s="62">
        <v>141713</v>
      </c>
      <c r="C12" s="62">
        <v>231047</v>
      </c>
      <c r="D12" s="62">
        <f t="shared" si="1"/>
        <v>372760</v>
      </c>
      <c r="E12" s="62">
        <v>715822</v>
      </c>
      <c r="F12" s="63">
        <f t="shared" si="0"/>
        <v>0.52074398383955789</v>
      </c>
    </row>
    <row r="13" spans="1:8" x14ac:dyDescent="0.25">
      <c r="A13" t="s">
        <v>31</v>
      </c>
      <c r="B13" s="62">
        <v>163537</v>
      </c>
      <c r="C13" s="62">
        <v>207645</v>
      </c>
      <c r="D13" s="62">
        <f t="shared" si="1"/>
        <v>371182</v>
      </c>
      <c r="E13" s="62">
        <v>878039</v>
      </c>
      <c r="F13" s="63">
        <f t="shared" si="0"/>
        <v>0.42273976440682021</v>
      </c>
    </row>
    <row r="14" spans="1:8" x14ac:dyDescent="0.25">
      <c r="A14" t="s">
        <v>32</v>
      </c>
      <c r="B14" s="62">
        <v>103330</v>
      </c>
      <c r="C14" s="62">
        <v>221552</v>
      </c>
      <c r="D14" s="62">
        <f t="shared" si="1"/>
        <v>324882</v>
      </c>
      <c r="E14" s="62">
        <v>761157</v>
      </c>
      <c r="F14" s="63">
        <f t="shared" si="0"/>
        <v>0.42682652856112469</v>
      </c>
    </row>
    <row r="15" spans="1:8" x14ac:dyDescent="0.25">
      <c r="A15" t="s">
        <v>33</v>
      </c>
      <c r="B15" s="62">
        <v>110085</v>
      </c>
      <c r="C15" s="62">
        <v>259085</v>
      </c>
      <c r="D15" s="62">
        <f t="shared" si="1"/>
        <v>369170</v>
      </c>
      <c r="E15" s="62">
        <v>711008</v>
      </c>
      <c r="F15" s="63">
        <f t="shared" si="0"/>
        <v>0.51922059948692556</v>
      </c>
    </row>
    <row r="16" spans="1:8" x14ac:dyDescent="0.25">
      <c r="A16" t="s">
        <v>34</v>
      </c>
      <c r="B16" s="62">
        <v>94469</v>
      </c>
      <c r="C16" s="62">
        <v>270673</v>
      </c>
      <c r="D16" s="62">
        <f t="shared" si="1"/>
        <v>365142</v>
      </c>
      <c r="E16" s="62">
        <v>633432</v>
      </c>
      <c r="F16" s="63">
        <f t="shared" si="0"/>
        <v>0.57645019512749596</v>
      </c>
    </row>
    <row r="17" spans="1:6" x14ac:dyDescent="0.25">
      <c r="A17" t="s">
        <v>35</v>
      </c>
      <c r="B17" s="62">
        <v>150071</v>
      </c>
      <c r="C17" s="62">
        <v>243664</v>
      </c>
      <c r="D17" s="62">
        <f t="shared" si="1"/>
        <v>393735</v>
      </c>
      <c r="E17" s="62">
        <v>721251</v>
      </c>
      <c r="F17" s="63">
        <f t="shared" si="0"/>
        <v>0.54590565559007886</v>
      </c>
    </row>
    <row r="18" spans="1:6" x14ac:dyDescent="0.25">
      <c r="A18" t="s">
        <v>36</v>
      </c>
      <c r="B18" s="62">
        <v>262220</v>
      </c>
      <c r="C18" s="62">
        <v>196204</v>
      </c>
      <c r="D18" s="62">
        <f t="shared" si="1"/>
        <v>458424</v>
      </c>
      <c r="E18" s="62">
        <v>860894</v>
      </c>
      <c r="F18" s="63">
        <f t="shared" si="0"/>
        <v>0.53249761294654163</v>
      </c>
    </row>
    <row r="19" spans="1:6" x14ac:dyDescent="0.25">
      <c r="A19" t="s">
        <v>37</v>
      </c>
      <c r="B19" s="62">
        <v>352563</v>
      </c>
      <c r="C19" s="62">
        <v>154483</v>
      </c>
      <c r="D19" s="62">
        <f t="shared" si="1"/>
        <v>507046</v>
      </c>
      <c r="E19" s="62">
        <v>954616</v>
      </c>
      <c r="F19" s="63">
        <f t="shared" si="0"/>
        <v>0.53115179297225268</v>
      </c>
    </row>
    <row r="20" spans="1:6" x14ac:dyDescent="0.25">
      <c r="A20" t="s">
        <v>38</v>
      </c>
      <c r="B20" s="62">
        <v>357899</v>
      </c>
      <c r="C20" s="62">
        <v>142334</v>
      </c>
      <c r="D20" s="62">
        <f t="shared" si="1"/>
        <v>500233</v>
      </c>
      <c r="E20" s="62">
        <v>930996</v>
      </c>
      <c r="F20" s="63">
        <f t="shared" si="0"/>
        <v>0.5373095050891733</v>
      </c>
    </row>
    <row r="21" spans="1:6" x14ac:dyDescent="0.25">
      <c r="A21" t="s">
        <v>39</v>
      </c>
      <c r="B21" s="62">
        <v>223517</v>
      </c>
      <c r="C21" s="62">
        <v>183521</v>
      </c>
      <c r="D21" s="62">
        <f t="shared" si="1"/>
        <v>407038</v>
      </c>
      <c r="E21" s="62">
        <v>749853</v>
      </c>
      <c r="F21" s="63">
        <f t="shared" si="0"/>
        <v>0.54282372678378299</v>
      </c>
    </row>
    <row r="22" spans="1:6" x14ac:dyDescent="0.25">
      <c r="A22" t="s">
        <v>40</v>
      </c>
      <c r="B22" s="62">
        <v>149642</v>
      </c>
      <c r="C22" s="62">
        <v>177842</v>
      </c>
      <c r="D22" s="62">
        <f t="shared" si="1"/>
        <v>327484</v>
      </c>
      <c r="E22" s="62">
        <v>645122</v>
      </c>
      <c r="F22" s="63">
        <f t="shared" si="0"/>
        <v>0.50763111473488731</v>
      </c>
    </row>
    <row r="23" spans="1:6" x14ac:dyDescent="0.25">
      <c r="A23" t="s">
        <v>41</v>
      </c>
      <c r="B23" s="62">
        <v>151401</v>
      </c>
      <c r="C23" s="62">
        <v>267508</v>
      </c>
      <c r="D23" s="62">
        <f t="shared" si="1"/>
        <v>418909</v>
      </c>
      <c r="E23" s="62">
        <v>718801</v>
      </c>
      <c r="F23" s="63">
        <f t="shared" si="0"/>
        <v>0.58278856039432336</v>
      </c>
    </row>
    <row r="24" spans="1:6" x14ac:dyDescent="0.25">
      <c r="B24" s="62">
        <f>SUM(B6:B23)</f>
        <v>3565687</v>
      </c>
      <c r="C24" s="62">
        <f t="shared" ref="C24:E24" si="2">SUM(C6:C23)</f>
        <v>3576111</v>
      </c>
      <c r="D24" s="62">
        <f t="shared" si="2"/>
        <v>7141798</v>
      </c>
      <c r="E24" s="62">
        <f t="shared" si="2"/>
        <v>14038781</v>
      </c>
      <c r="F24" s="63">
        <f t="shared" si="0"/>
        <v>0.50871923993970702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Imprudence Amt</vt:lpstr>
      <vt:lpstr>Variable costs</vt:lpstr>
      <vt:lpstr>West PPAs</vt:lpstr>
      <vt:lpstr>Metro PPAs</vt:lpstr>
      <vt:lpstr>Fixed Costs</vt:lpstr>
      <vt:lpstr>Gen_Load</vt:lpstr>
      <vt:lpstr>'Variable costs'!Print_Area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Mantle, Lena</dc:creator>
  <cp:lastModifiedBy>Hildebrand, Tiffany</cp:lastModifiedBy>
  <cp:lastPrinted>2023-09-07T16:27:38Z</cp:lastPrinted>
  <dcterms:created xsi:type="dcterms:W3CDTF">2023-09-06T18:47:42Z</dcterms:created>
  <dcterms:modified xsi:type="dcterms:W3CDTF">2023-12-14T20:18:23Z</dcterms:modified>
</cp:coreProperties>
</file>